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ydneyf\Downloads\"/>
    </mc:Choice>
  </mc:AlternateContent>
  <xr:revisionPtr revIDLastSave="0" documentId="13_ncr:1_{DB4E8D67-A692-4397-99CF-EE564B2AEE92}" xr6:coauthVersionLast="47" xr6:coauthVersionMax="47" xr10:uidLastSave="{00000000-0000-0000-0000-000000000000}"/>
  <bookViews>
    <workbookView xWindow="10" yWindow="10" windowWidth="19180" windowHeight="10060" activeTab="1" xr2:uid="{CC63D56A-6F27-46ED-9E8A-FD5209242916}"/>
  </bookViews>
  <sheets>
    <sheet name="Project Information" sheetId="1" r:id="rId1"/>
    <sheet name="Fee Summary" sheetId="2" r:id="rId2"/>
    <sheet name="Fee Data" sheetId="6" state="hidden" r:id="rId3"/>
    <sheet name="List Data" sheetId="4" state="hidden" r:id="rId4"/>
    <sheet name="Planning Impact Fees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E17" i="2" l="1"/>
  <c r="E15" i="2"/>
  <c r="E14" i="2"/>
  <c r="B55" i="4"/>
  <c r="E9" i="2" s="1"/>
  <c r="B46" i="4"/>
  <c r="C38" i="2" s="1"/>
  <c r="A16" i="4"/>
  <c r="A15" i="4"/>
  <c r="H11" i="6"/>
  <c r="E16" i="2" s="1"/>
  <c r="E13" i="2" s="1"/>
  <c r="E20" i="6"/>
  <c r="E21" i="6" s="1"/>
  <c r="D20" i="6"/>
  <c r="D21" i="6" s="1"/>
  <c r="C20" i="6"/>
  <c r="C21" i="6" s="1"/>
  <c r="B20" i="6"/>
  <c r="B21" i="6" s="1"/>
  <c r="E17" i="6"/>
  <c r="E18" i="6" s="1"/>
  <c r="D17" i="6"/>
  <c r="D18" i="6" s="1"/>
  <c r="C17" i="6"/>
  <c r="C18" i="6" s="1"/>
  <c r="B17" i="6"/>
  <c r="B18" i="6" s="1"/>
  <c r="F2" i="3"/>
  <c r="G2" i="3"/>
  <c r="D2" i="3"/>
  <c r="B20" i="3" s="1"/>
  <c r="E2" i="3"/>
  <c r="C2" i="3"/>
  <c r="B2" i="3"/>
  <c r="C23" i="3" l="1"/>
  <c r="C20" i="3"/>
  <c r="D20" i="3" s="1"/>
  <c r="D22" i="2" s="1"/>
  <c r="E22" i="2" s="1"/>
  <c r="F22" i="2" s="1"/>
  <c r="B23" i="3"/>
  <c r="D23" i="3" s="1"/>
  <c r="D21" i="2" s="1"/>
  <c r="E21" i="2" s="1"/>
  <c r="F21" i="2" s="1"/>
  <c r="D14" i="3"/>
  <c r="D13" i="3" s="1"/>
  <c r="D15" i="3" s="1"/>
  <c r="C14" i="3"/>
  <c r="C13" i="3" s="1"/>
  <c r="C15" i="3" s="1"/>
  <c r="E13" i="3"/>
  <c r="E15" i="3" s="1"/>
  <c r="C6" i="3"/>
  <c r="B13" i="3"/>
  <c r="B15" i="3" s="1"/>
  <c r="E10" i="3"/>
  <c r="E12" i="3" s="1"/>
  <c r="D11" i="3"/>
  <c r="D10" i="3" s="1"/>
  <c r="D12" i="3" s="1"/>
  <c r="C11" i="3"/>
  <c r="C10" i="3" s="1"/>
  <c r="C12" i="3" s="1"/>
  <c r="B6" i="3"/>
  <c r="D6" i="3" s="1"/>
  <c r="B10" i="3"/>
  <c r="B12" i="3" s="1"/>
  <c r="B16" i="4"/>
  <c r="G15" i="3" l="1"/>
  <c r="F12" i="3"/>
  <c r="B17" i="3" s="1"/>
  <c r="C17" i="3" s="1"/>
  <c r="D17" i="3" s="1"/>
  <c r="D19" i="2" s="1"/>
  <c r="E19" i="2" s="1"/>
  <c r="F19" i="2" s="1"/>
  <c r="E6" i="3"/>
  <c r="D20" i="2" s="1"/>
  <c r="E20" i="2" s="1"/>
  <c r="F20" i="2" s="1"/>
  <c r="C47" i="2"/>
  <c r="A17" i="4"/>
  <c r="E10" i="2" s="1"/>
  <c r="F10" i="2" s="1"/>
  <c r="C46" i="2" l="1"/>
  <c r="C45" i="2"/>
  <c r="C44" i="2"/>
  <c r="C43" i="2"/>
  <c r="C41" i="2"/>
  <c r="C40" i="2"/>
  <c r="C37" i="2"/>
  <c r="C36" i="2"/>
  <c r="C35" i="2"/>
  <c r="C34" i="2"/>
  <c r="F17" i="2"/>
  <c r="D17" i="2" s="1"/>
  <c r="E6" i="2"/>
  <c r="F15" i="2"/>
  <c r="D15" i="2" s="1"/>
  <c r="F14" i="2"/>
  <c r="D14" i="2" s="1"/>
  <c r="F9" i="2"/>
  <c r="C9" i="2" s="1"/>
  <c r="B47" i="4" l="1"/>
  <c r="E7" i="2" s="1"/>
  <c r="E11" i="2"/>
  <c r="F11" i="2" s="1"/>
  <c r="D11" i="2" s="1"/>
  <c r="C39" i="2"/>
  <c r="B49" i="4" s="1"/>
  <c r="E8" i="2" s="1"/>
  <c r="F8" i="2" s="1"/>
  <c r="C8" i="2" s="1"/>
  <c r="C42" i="2"/>
  <c r="D10" i="2"/>
  <c r="C10" i="2"/>
  <c r="F6" i="2"/>
  <c r="F16" i="2"/>
  <c r="D25" i="2" l="1"/>
  <c r="B52" i="4"/>
  <c r="B51" i="4"/>
  <c r="E12" i="2" s="1"/>
  <c r="F12" i="2" s="1"/>
  <c r="C12" i="2" s="1"/>
  <c r="C11" i="2"/>
  <c r="F7" i="2"/>
  <c r="C7" i="2" s="1"/>
  <c r="F13" i="2"/>
  <c r="C13" i="2"/>
  <c r="D16" i="2"/>
  <c r="C6" i="2"/>
  <c r="E25" i="2" l="1"/>
  <c r="F25" i="2"/>
  <c r="C25" i="2"/>
</calcChain>
</file>

<file path=xl/sharedStrings.xml><?xml version="1.0" encoding="utf-8"?>
<sst xmlns="http://schemas.openxmlformats.org/spreadsheetml/2006/main" count="201" uniqueCount="167">
  <si>
    <t>Basic Permit Information (Measurements in Sq Feet)</t>
  </si>
  <si>
    <t>Project Valuation</t>
  </si>
  <si>
    <t>Building Work Area</t>
  </si>
  <si>
    <t>Disturbed Exterior Area</t>
  </si>
  <si>
    <t>Total Size of Rooms with Plumbing Work</t>
  </si>
  <si>
    <t>Building Footprint Size</t>
  </si>
  <si>
    <t>Lot Size</t>
  </si>
  <si>
    <t xml:space="preserve">Building Permit Information </t>
  </si>
  <si>
    <t>Zoning Review Type</t>
  </si>
  <si>
    <t xml:space="preserve">Utility Review Type </t>
  </si>
  <si>
    <t>Energy Code Review Required</t>
  </si>
  <si>
    <t>GIS required</t>
  </si>
  <si>
    <t>Parks Required</t>
  </si>
  <si>
    <t>All Projects: Existing Floor Area</t>
  </si>
  <si>
    <t>All Projects: Proposed Floor Area</t>
  </si>
  <si>
    <t>Commercial: Existing Net Leasable</t>
  </si>
  <si>
    <t>Commercial: Proposed Net Leasable</t>
  </si>
  <si>
    <t>Lot Area</t>
  </si>
  <si>
    <t xml:space="preserve">Land Value </t>
  </si>
  <si>
    <t>Major Residential</t>
  </si>
  <si>
    <t>Major</t>
  </si>
  <si>
    <t>Yes</t>
  </si>
  <si>
    <t>TBD</t>
  </si>
  <si>
    <t>Definitions</t>
  </si>
  <si>
    <t>Total cost of the project, including materials and labor</t>
  </si>
  <si>
    <t>Total area of rooms with alterations to plumbing (e.g. bathrooms, kitchens, mechanical rooms, etc.)</t>
  </si>
  <si>
    <t>Changes to Thermal Envelope or Lighting Fixtures</t>
  </si>
  <si>
    <r>
      <rPr>
        <b/>
        <sz val="11"/>
        <color theme="1"/>
        <rFont val="Aptos Narrow"/>
        <family val="2"/>
        <scheme val="minor"/>
      </rPr>
      <t>Major:</t>
    </r>
    <r>
      <rPr>
        <sz val="11"/>
        <color theme="1"/>
        <rFont val="Aptos Narrow"/>
        <family val="2"/>
        <scheme val="minor"/>
      </rPr>
      <t xml:space="preserve"> Project features exterior disturbed area. </t>
    </r>
    <r>
      <rPr>
        <b/>
        <sz val="11"/>
        <color theme="1"/>
        <rFont val="Aptos Narrow"/>
        <family val="2"/>
        <scheme val="minor"/>
      </rPr>
      <t xml:space="preserve">Minor: </t>
    </r>
    <r>
      <rPr>
        <sz val="11"/>
        <color theme="1"/>
        <rFont val="Aptos Narrow"/>
        <family val="2"/>
        <scheme val="minor"/>
      </rPr>
      <t xml:space="preserve">Interior-only remodel that affects plumbing fixtures. </t>
    </r>
  </si>
  <si>
    <t xml:space="preserve">Change to Building Footprint </t>
  </si>
  <si>
    <t>Engineering Development Review Required</t>
  </si>
  <si>
    <t>Affects Trees, Driplines, Root Areas</t>
  </si>
  <si>
    <t>Total interior work area, including affected exterior wall</t>
  </si>
  <si>
    <t>Total grade floor area square footage</t>
  </si>
  <si>
    <t>Surveyed lot size. Not necessary for interior-only remodels.</t>
  </si>
  <si>
    <t>Project Address:</t>
  </si>
  <si>
    <t>Permit Number:</t>
  </si>
  <si>
    <t>Fee Description</t>
  </si>
  <si>
    <t>Submittal Fees</t>
  </si>
  <si>
    <t>Issuance Fees</t>
  </si>
  <si>
    <t>Total Fees Due Calcs</t>
  </si>
  <si>
    <t>Total Fees Due</t>
  </si>
  <si>
    <t>Building Plan Review</t>
  </si>
  <si>
    <t>Engineering Plan Review</t>
  </si>
  <si>
    <t>Erosion &amp; Sediment Review</t>
  </si>
  <si>
    <t>Parks Plan Review</t>
  </si>
  <si>
    <t>Zoning Plan Review</t>
  </si>
  <si>
    <t>Construction Mitigation Plan Review</t>
  </si>
  <si>
    <t>Aspen Energy Code Payment</t>
  </si>
  <si>
    <t>City Use Tax Deposit</t>
  </si>
  <si>
    <t>County Use Tax Deposit</t>
  </si>
  <si>
    <t>Building Permit Fee</t>
  </si>
  <si>
    <t>GIS Fee</t>
  </si>
  <si>
    <t>School Lands Dedication Fee</t>
  </si>
  <si>
    <t>Housing Fee-in-Lieu</t>
  </si>
  <si>
    <t>Parks Impact</t>
  </si>
  <si>
    <t>TDM</t>
  </si>
  <si>
    <t>Parking</t>
  </si>
  <si>
    <t>To Be Determined</t>
  </si>
  <si>
    <t>Pedestrian Amenity</t>
  </si>
  <si>
    <t>The permit and impact fees calculated here are estimates only and may not be the final fees charged.  </t>
  </si>
  <si>
    <t xml:space="preserve">By using this estimator you acknowledge that it is only an estimate and actual fees due may be different. </t>
  </si>
  <si>
    <t>This fee estimate is based on unverified information provided by applicant. Fees may change after review by City staff.</t>
  </si>
  <si>
    <t>Your final fees due will be determined at the issuance of permit.</t>
  </si>
  <si>
    <t>PROJECT DETAILS</t>
  </si>
  <si>
    <t>Valuation</t>
  </si>
  <si>
    <t xml:space="preserve">Building Work Area </t>
  </si>
  <si>
    <t>Exterior Disturbance Area</t>
  </si>
  <si>
    <t>CMP Area</t>
  </si>
  <si>
    <t>Affected Area</t>
  </si>
  <si>
    <t>Sq Ft. of Plumbing Work</t>
  </si>
  <si>
    <t>Sq Ft. of Utility Review</t>
  </si>
  <si>
    <t>Utility Review Type</t>
  </si>
  <si>
    <t>Added Residential FAR</t>
  </si>
  <si>
    <t>Added Commerical Net Leasable</t>
  </si>
  <si>
    <r>
      <t>Housing FTEs Generated</t>
    </r>
    <r>
      <rPr>
        <i/>
        <sz val="11"/>
        <color theme="1"/>
        <rFont val="Aptos Narrow"/>
        <family val="2"/>
        <scheme val="minor"/>
      </rPr>
      <t xml:space="preserve"> </t>
    </r>
  </si>
  <si>
    <t xml:space="preserve">Change in sq ft = yes </t>
  </si>
  <si>
    <t xml:space="preserve">Valuation </t>
  </si>
  <si>
    <t>Property Address</t>
  </si>
  <si>
    <t>Permit Number</t>
  </si>
  <si>
    <t>Existing Floor Area</t>
  </si>
  <si>
    <t>Existing Commercial Net Leasable</t>
  </si>
  <si>
    <t>Total Generation - Proposed FAR</t>
  </si>
  <si>
    <t>Total Generation - Existing FAR</t>
  </si>
  <si>
    <t>FTEs requiring mitigation</t>
  </si>
  <si>
    <t>Cash-In-Lieu Payment</t>
  </si>
  <si>
    <t>No</t>
  </si>
  <si>
    <t>Major Commercial</t>
  </si>
  <si>
    <t>Minor Commercial</t>
  </si>
  <si>
    <t>Minor Residential</t>
  </si>
  <si>
    <t>PD Residential</t>
  </si>
  <si>
    <t>PD Commercial</t>
  </si>
  <si>
    <t>School Lands Multiplier Data</t>
  </si>
  <si>
    <t>Parks Impact Multiplier Data</t>
  </si>
  <si>
    <t>Residential</t>
  </si>
  <si>
    <t>Commerical</t>
  </si>
  <si>
    <t>TDM Impact Multiplier Data</t>
  </si>
  <si>
    <t>Minor</t>
  </si>
  <si>
    <t>Not Required</t>
  </si>
  <si>
    <t>Net Building Sq Ft</t>
  </si>
  <si>
    <t>Engineering Not Required</t>
  </si>
  <si>
    <t>Major Utilities</t>
  </si>
  <si>
    <t>Minor Utilities</t>
  </si>
  <si>
    <t>Parks Yes</t>
  </si>
  <si>
    <t>Parks No</t>
  </si>
  <si>
    <t>Demolition</t>
  </si>
  <si>
    <t>School Lands</t>
  </si>
  <si>
    <t>0-1200</t>
  </si>
  <si>
    <t>1200-2100</t>
  </si>
  <si>
    <t>2100-3500</t>
  </si>
  <si>
    <t>Above 3500</t>
  </si>
  <si>
    <t>Housing Fees In Lieu</t>
  </si>
  <si>
    <t>General Info</t>
  </si>
  <si>
    <t xml:space="preserve">Demolition Triggered? </t>
  </si>
  <si>
    <t xml:space="preserve">* Contact Planning * </t>
  </si>
  <si>
    <t>Proposed Floor Area</t>
  </si>
  <si>
    <t xml:space="preserve">Parks Impact </t>
  </si>
  <si>
    <t>Min Value</t>
  </si>
  <si>
    <t>Max Value</t>
  </si>
  <si>
    <t>Modifier</t>
  </si>
  <si>
    <t>Base</t>
  </si>
  <si>
    <t>Exceed</t>
  </si>
  <si>
    <t>Zoning Fee</t>
  </si>
  <si>
    <t xml:space="preserve">Minor Residential </t>
  </si>
  <si>
    <t xml:space="preserve">PD Residential </t>
  </si>
  <si>
    <t xml:space="preserve">Minor Commercial </t>
  </si>
  <si>
    <t xml:space="preserve">Major Commercial </t>
  </si>
  <si>
    <t xml:space="preserve">PD Commerical </t>
  </si>
  <si>
    <t>&gt;500</t>
  </si>
  <si>
    <t>501-2500</t>
  </si>
  <si>
    <t>2501-5000</t>
  </si>
  <si>
    <t>5001+</t>
  </si>
  <si>
    <t>currentROW</t>
  </si>
  <si>
    <t>Housing FIL Multiplier Data</t>
  </si>
  <si>
    <t>Erosion &amp; Sediment</t>
  </si>
  <si>
    <t>Exterior disturbance + % lot area threshold trigger</t>
  </si>
  <si>
    <t>Building work area + exterior disturbance</t>
  </si>
  <si>
    <t>Exterior disturbance</t>
  </si>
  <si>
    <t xml:space="preserve">Exterior disturbance + plumbing work </t>
  </si>
  <si>
    <t>Major and minor are the same 2024</t>
  </si>
  <si>
    <t>Erosion sediment review tied to eng dev yes/no</t>
  </si>
  <si>
    <t>Total Generation on Proposed FAR</t>
  </si>
  <si>
    <t>Total Generation on Existing FAR</t>
  </si>
  <si>
    <t>Students Generated</t>
  </si>
  <si>
    <t>Land Dedication Requirement</t>
  </si>
  <si>
    <t>Per Sq Ft Lot Value</t>
  </si>
  <si>
    <t>TDM / Air Quality</t>
  </si>
  <si>
    <t>Net New Residential / Hotel SF</t>
  </si>
  <si>
    <t>Net New Commercial Net Leasable</t>
  </si>
  <si>
    <t>TDM / Air Quality Fee</t>
  </si>
  <si>
    <t>Proposed Commercial Net Leasable</t>
  </si>
  <si>
    <t>Parks Fee</t>
  </si>
  <si>
    <t xml:space="preserve">* Contact Planner of the Day * </t>
  </si>
  <si>
    <t>Utility Development Review</t>
  </si>
  <si>
    <t>Zoning Plan Review Fee</t>
  </si>
  <si>
    <t>Pay ONLY submittal fees at time of permit submission. Remaining fees will be due at permit issuance.</t>
  </si>
  <si>
    <t>Fee estimate does not include Water, Sanitation tap fees, or REMP dues, these are calculated during permit review by reviewers.</t>
  </si>
  <si>
    <t>Planning Impact Fee Information</t>
  </si>
  <si>
    <t>Building work area + zoning category, or less than $5000</t>
  </si>
  <si>
    <t>Fees based on… See Fee Ordinance for more detail</t>
  </si>
  <si>
    <t>See Fee Ordinance. Changes square footage require major review.</t>
  </si>
  <si>
    <t>Project Features &gt;= 200 sq ft of Disturbed Exterior Area, or Meets 50% Interior Threshold</t>
  </si>
  <si>
    <t>Total soil disturbance area of project, do not include the building footprint</t>
  </si>
  <si>
    <t>Project Information for Permit Fee Estimate</t>
  </si>
  <si>
    <t>These fees apply if Affordable Housing Mitigation is required.</t>
  </si>
  <si>
    <t>City of Aspen Building Permit Fee Estimate</t>
  </si>
  <si>
    <t>Planning Impact Fees (advisory only until permit issuance) * Contact Planner of the Day @gmail.com *</t>
  </si>
  <si>
    <t>Total Permit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</si>
</sst>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sz val="11"/>
      <color rgb="FF181818"/>
      <name val="Segoe UI"/>
      <family val="2"/>
    </font>
    <font>
      <b/>
      <sz val="11"/>
      <color rgb="FF000000"/>
      <name val="Aptos Narrow"/>
      <family val="2"/>
      <scheme val="minor"/>
    </font>
    <font>
      <sz val="11"/>
      <color rgb="FF18181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2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5" xfId="0" applyFont="1" applyBorder="1"/>
    <xf numFmtId="0" fontId="0" fillId="0" borderId="6" xfId="0" applyBorder="1"/>
    <xf numFmtId="0" fontId="2" fillId="2" borderId="5" xfId="0" applyFont="1" applyFill="1" applyBorder="1"/>
    <xf numFmtId="0" fontId="0" fillId="0" borderId="5" xfId="0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2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4" fontId="0" fillId="0" borderId="0" xfId="1" applyFont="1"/>
    <xf numFmtId="0" fontId="6" fillId="0" borderId="11" xfId="0" applyFont="1" applyBorder="1"/>
    <xf numFmtId="44" fontId="0" fillId="0" borderId="11" xfId="1" applyFont="1" applyBorder="1"/>
    <xf numFmtId="44" fontId="0" fillId="0" borderId="0" xfId="1" applyFont="1" applyBorder="1"/>
    <xf numFmtId="44" fontId="0" fillId="0" borderId="16" xfId="1" applyFont="1" applyBorder="1"/>
    <xf numFmtId="44" fontId="0" fillId="0" borderId="1" xfId="1" applyFont="1" applyBorder="1"/>
    <xf numFmtId="44" fontId="0" fillId="0" borderId="0" xfId="1" applyFont="1" applyAlignment="1"/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2" borderId="1" xfId="0" applyFill="1" applyBorder="1"/>
    <xf numFmtId="44" fontId="0" fillId="2" borderId="1" xfId="0" applyNumberFormat="1" applyFill="1" applyBorder="1"/>
    <xf numFmtId="44" fontId="0" fillId="2" borderId="1" xfId="1" applyFont="1" applyFill="1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0" fontId="4" fillId="0" borderId="0" xfId="0" applyFont="1"/>
    <xf numFmtId="4" fontId="9" fillId="0" borderId="0" xfId="0" applyNumberFormat="1" applyFont="1"/>
    <xf numFmtId="0" fontId="4" fillId="2" borderId="1" xfId="0" applyFont="1" applyFill="1" applyBorder="1"/>
    <xf numFmtId="0" fontId="2" fillId="2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 applyAlignment="1" applyProtection="1">
      <alignment horizontal="center" vertical="center"/>
      <protection locked="0"/>
    </xf>
    <xf numFmtId="3" fontId="11" fillId="0" borderId="0" xfId="0" applyNumberFormat="1" applyFont="1" applyAlignment="1" applyProtection="1">
      <alignment horizontal="center"/>
      <protection locked="0"/>
    </xf>
    <xf numFmtId="2" fontId="0" fillId="0" borderId="0" xfId="0" applyNumberFormat="1"/>
    <xf numFmtId="0" fontId="5" fillId="0" borderId="10" xfId="0" applyFont="1" applyBorder="1"/>
    <xf numFmtId="0" fontId="3" fillId="0" borderId="13" xfId="0" applyFont="1" applyBorder="1"/>
    <xf numFmtId="0" fontId="7" fillId="0" borderId="13" xfId="0" applyFont="1" applyBorder="1" applyAlignment="1">
      <alignment vertical="center"/>
    </xf>
    <xf numFmtId="0" fontId="10" fillId="0" borderId="13" xfId="0" applyFont="1" applyBorder="1"/>
    <xf numFmtId="0" fontId="3" fillId="0" borderId="15" xfId="0" applyFont="1" applyBorder="1"/>
    <xf numFmtId="0" fontId="2" fillId="2" borderId="7" xfId="0" applyFont="1" applyFill="1" applyBorder="1"/>
    <xf numFmtId="44" fontId="2" fillId="2" borderId="8" xfId="1" applyFont="1" applyFill="1" applyBorder="1"/>
    <xf numFmtId="0" fontId="3" fillId="0" borderId="11" xfId="0" applyFont="1" applyBorder="1"/>
    <xf numFmtId="0" fontId="0" fillId="2" borderId="0" xfId="0" applyFill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1" applyNumberFormat="1" applyFont="1" applyFill="1" applyBorder="1"/>
    <xf numFmtId="2" fontId="0" fillId="0" borderId="1" xfId="0" applyNumberFormat="1" applyBorder="1"/>
    <xf numFmtId="0" fontId="0" fillId="0" borderId="0" xfId="0" applyFill="1"/>
    <xf numFmtId="44" fontId="0" fillId="0" borderId="22" xfId="1" applyFont="1" applyBorder="1"/>
    <xf numFmtId="44" fontId="0" fillId="2" borderId="22" xfId="1" applyFont="1" applyFill="1" applyBorder="1"/>
    <xf numFmtId="44" fontId="2" fillId="2" borderId="23" xfId="1" applyFont="1" applyFill="1" applyBorder="1"/>
    <xf numFmtId="0" fontId="4" fillId="2" borderId="25" xfId="0" applyFont="1" applyFill="1" applyBorder="1"/>
    <xf numFmtId="44" fontId="4" fillId="2" borderId="25" xfId="1" applyFont="1" applyFill="1" applyBorder="1"/>
    <xf numFmtId="0" fontId="4" fillId="2" borderId="26" xfId="0" applyFont="1" applyFill="1" applyBorder="1"/>
    <xf numFmtId="0" fontId="2" fillId="2" borderId="24" xfId="0" applyFont="1" applyFill="1" applyBorder="1" applyAlignment="1">
      <alignment wrapText="1"/>
    </xf>
    <xf numFmtId="44" fontId="2" fillId="4" borderId="24" xfId="1" applyFont="1" applyFill="1" applyBorder="1"/>
    <xf numFmtId="44" fontId="2" fillId="2" borderId="15" xfId="1" applyFont="1" applyFill="1" applyBorder="1"/>
    <xf numFmtId="0" fontId="4" fillId="2" borderId="27" xfId="0" applyFont="1" applyFill="1" applyBorder="1"/>
    <xf numFmtId="0" fontId="2" fillId="2" borderId="28" xfId="0" applyFont="1" applyFill="1" applyBorder="1" applyAlignment="1"/>
    <xf numFmtId="0" fontId="0" fillId="0" borderId="29" xfId="0" applyBorder="1"/>
    <xf numFmtId="0" fontId="0" fillId="2" borderId="29" xfId="0" applyFill="1" applyBorder="1"/>
    <xf numFmtId="0" fontId="0" fillId="2" borderId="30" xfId="0" applyFill="1" applyBorder="1"/>
    <xf numFmtId="0" fontId="0" fillId="0" borderId="0" xfId="0" applyBorder="1"/>
    <xf numFmtId="0" fontId="3" fillId="0" borderId="31" xfId="0" applyFont="1" applyBorder="1"/>
    <xf numFmtId="4" fontId="0" fillId="0" borderId="32" xfId="0" applyNumberFormat="1" applyBorder="1"/>
    <xf numFmtId="0" fontId="0" fillId="0" borderId="33" xfId="0" applyBorder="1"/>
    <xf numFmtId="44" fontId="0" fillId="0" borderId="33" xfId="1" applyFont="1" applyBorder="1"/>
    <xf numFmtId="0" fontId="0" fillId="0" borderId="34" xfId="0" applyBorder="1"/>
    <xf numFmtId="4" fontId="0" fillId="0" borderId="35" xfId="0" applyNumberFormat="1" applyBorder="1"/>
    <xf numFmtId="0" fontId="0" fillId="0" borderId="36" xfId="0" applyBorder="1"/>
    <xf numFmtId="44" fontId="0" fillId="0" borderId="36" xfId="1" applyFont="1" applyBorder="1"/>
    <xf numFmtId="0" fontId="0" fillId="0" borderId="37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18397</xdr:colOff>
      <xdr:row>32</xdr:row>
      <xdr:rowOff>29369</xdr:rowOff>
    </xdr:from>
    <xdr:to>
      <xdr:col>6</xdr:col>
      <xdr:colOff>287366</xdr:colOff>
      <xdr:row>48</xdr:row>
      <xdr:rowOff>160752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12D3D-10F5-4A4A-AAD2-2B575AE6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221" y="6528781"/>
          <a:ext cx="3110082" cy="312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CBF7-3332-4180-9000-24ED4DDD6A8D}">
  <sheetPr codeName="Sheet1"/>
  <dimension ref="B1:D28"/>
  <sheetViews>
    <sheetView topLeftCell="A10" zoomScale="114" zoomScaleNormal="114" workbookViewId="0">
      <selection activeCell="D19" sqref="D19"/>
    </sheetView>
  </sheetViews>
  <sheetFormatPr defaultRowHeight="14.5" x14ac:dyDescent="0.35"/>
  <cols>
    <col min="1" max="1" width="1.26953125" customWidth="1"/>
    <col min="2" max="2" width="34.81640625" customWidth="1"/>
    <col min="3" max="3" width="17.1796875" style="3" customWidth="1"/>
    <col min="4" max="4" width="55.81640625" customWidth="1"/>
  </cols>
  <sheetData>
    <row r="1" spans="2:4" ht="15" thickBot="1" x14ac:dyDescent="0.4"/>
    <row r="2" spans="2:4" x14ac:dyDescent="0.35">
      <c r="B2" s="18" t="s">
        <v>162</v>
      </c>
      <c r="C2" s="19"/>
      <c r="D2" s="20"/>
    </row>
    <row r="3" spans="2:4" x14ac:dyDescent="0.35">
      <c r="B3" s="8" t="s">
        <v>34</v>
      </c>
      <c r="C3" s="4" t="s">
        <v>22</v>
      </c>
      <c r="D3" s="9"/>
    </row>
    <row r="4" spans="2:4" x14ac:dyDescent="0.35">
      <c r="B4" s="8" t="s">
        <v>35</v>
      </c>
      <c r="C4" s="4" t="s">
        <v>22</v>
      </c>
      <c r="D4" s="9"/>
    </row>
    <row r="5" spans="2:4" x14ac:dyDescent="0.35">
      <c r="B5" s="10" t="s">
        <v>0</v>
      </c>
      <c r="C5" s="6"/>
      <c r="D5" s="14" t="s">
        <v>23</v>
      </c>
    </row>
    <row r="6" spans="2:4" x14ac:dyDescent="0.35">
      <c r="B6" s="11" t="s">
        <v>1</v>
      </c>
      <c r="C6" s="48">
        <v>0</v>
      </c>
      <c r="D6" s="15" t="s">
        <v>24</v>
      </c>
    </row>
    <row r="7" spans="2:4" x14ac:dyDescent="0.35">
      <c r="B7" s="11" t="s">
        <v>2</v>
      </c>
      <c r="C7" s="47">
        <v>0</v>
      </c>
      <c r="D7" s="15" t="s">
        <v>31</v>
      </c>
    </row>
    <row r="8" spans="2:4" ht="29" x14ac:dyDescent="0.35">
      <c r="B8" s="11" t="s">
        <v>3</v>
      </c>
      <c r="C8" s="47">
        <v>0</v>
      </c>
      <c r="D8" s="15" t="s">
        <v>161</v>
      </c>
    </row>
    <row r="9" spans="2:4" ht="29" x14ac:dyDescent="0.35">
      <c r="B9" s="11" t="s">
        <v>4</v>
      </c>
      <c r="C9" s="47">
        <v>0</v>
      </c>
      <c r="D9" s="15" t="s">
        <v>25</v>
      </c>
    </row>
    <row r="10" spans="2:4" x14ac:dyDescent="0.35">
      <c r="B10" s="11" t="s">
        <v>5</v>
      </c>
      <c r="C10" s="47">
        <v>0</v>
      </c>
      <c r="D10" s="15" t="s">
        <v>32</v>
      </c>
    </row>
    <row r="11" spans="2:4" x14ac:dyDescent="0.35">
      <c r="B11" s="11" t="s">
        <v>6</v>
      </c>
      <c r="C11" s="47">
        <v>0</v>
      </c>
      <c r="D11" s="15" t="s">
        <v>33</v>
      </c>
    </row>
    <row r="12" spans="2:4" x14ac:dyDescent="0.35">
      <c r="B12" s="10" t="s">
        <v>7</v>
      </c>
      <c r="C12" s="7"/>
      <c r="D12" s="16"/>
    </row>
    <row r="13" spans="2:4" x14ac:dyDescent="0.35">
      <c r="B13" s="11" t="s">
        <v>8</v>
      </c>
      <c r="C13" s="4" t="s">
        <v>19</v>
      </c>
      <c r="D13" s="15" t="s">
        <v>159</v>
      </c>
    </row>
    <row r="14" spans="2:4" ht="29" x14ac:dyDescent="0.35">
      <c r="B14" s="11" t="s">
        <v>9</v>
      </c>
      <c r="C14" s="4" t="s">
        <v>20</v>
      </c>
      <c r="D14" s="15" t="s">
        <v>27</v>
      </c>
    </row>
    <row r="15" spans="2:4" x14ac:dyDescent="0.35">
      <c r="B15" s="11" t="s">
        <v>10</v>
      </c>
      <c r="C15" s="4" t="s">
        <v>21</v>
      </c>
      <c r="D15" s="15" t="s">
        <v>26</v>
      </c>
    </row>
    <row r="16" spans="2:4" ht="29" x14ac:dyDescent="0.35">
      <c r="B16" s="11" t="s">
        <v>29</v>
      </c>
      <c r="C16" s="4" t="s">
        <v>21</v>
      </c>
      <c r="D16" s="15" t="s">
        <v>160</v>
      </c>
    </row>
    <row r="17" spans="2:4" x14ac:dyDescent="0.35">
      <c r="B17" s="11" t="s">
        <v>11</v>
      </c>
      <c r="C17" s="4" t="s">
        <v>21</v>
      </c>
      <c r="D17" s="15" t="s">
        <v>28</v>
      </c>
    </row>
    <row r="18" spans="2:4" x14ac:dyDescent="0.35">
      <c r="B18" s="11" t="s">
        <v>12</v>
      </c>
      <c r="C18" s="4" t="s">
        <v>21</v>
      </c>
      <c r="D18" s="15" t="s">
        <v>30</v>
      </c>
    </row>
    <row r="19" spans="2:4" x14ac:dyDescent="0.35">
      <c r="B19" s="10" t="s">
        <v>156</v>
      </c>
      <c r="C19" s="7"/>
      <c r="D19" s="14" t="s">
        <v>163</v>
      </c>
    </row>
    <row r="20" spans="2:4" x14ac:dyDescent="0.35">
      <c r="B20" s="11" t="s">
        <v>112</v>
      </c>
      <c r="C20" s="4" t="s">
        <v>85</v>
      </c>
      <c r="D20" s="15"/>
    </row>
    <row r="21" spans="2:4" x14ac:dyDescent="0.35">
      <c r="B21" s="11" t="s">
        <v>13</v>
      </c>
      <c r="C21" s="4">
        <v>0</v>
      </c>
      <c r="D21" s="15"/>
    </row>
    <row r="22" spans="2:4" x14ac:dyDescent="0.35">
      <c r="B22" s="11" t="s">
        <v>14</v>
      </c>
      <c r="C22" s="4">
        <v>0</v>
      </c>
      <c r="D22" s="15"/>
    </row>
    <row r="23" spans="2:4" x14ac:dyDescent="0.35">
      <c r="B23" s="11" t="s">
        <v>15</v>
      </c>
      <c r="C23" s="4">
        <v>0</v>
      </c>
    </row>
    <row r="24" spans="2:4" x14ac:dyDescent="0.35">
      <c r="B24" s="11" t="s">
        <v>16</v>
      </c>
      <c r="C24" s="4">
        <v>0</v>
      </c>
      <c r="D24" s="15"/>
    </row>
    <row r="25" spans="2:4" x14ac:dyDescent="0.35">
      <c r="B25" s="11" t="s">
        <v>17</v>
      </c>
      <c r="C25" s="4">
        <v>0</v>
      </c>
      <c r="D25" s="15"/>
    </row>
    <row r="26" spans="2:4" x14ac:dyDescent="0.35">
      <c r="B26" s="11" t="s">
        <v>18</v>
      </c>
      <c r="C26" s="4">
        <v>0</v>
      </c>
      <c r="D26" s="15"/>
    </row>
    <row r="27" spans="2:4" hidden="1" x14ac:dyDescent="0.35">
      <c r="B27" s="60" t="s">
        <v>144</v>
      </c>
      <c r="C27" s="61" t="e">
        <f>C26/C25</f>
        <v>#DIV/0!</v>
      </c>
      <c r="D27" s="62"/>
    </row>
    <row r="28" spans="2:4" ht="15" thickBot="1" x14ac:dyDescent="0.4">
      <c r="B28" s="12"/>
      <c r="C28" s="13"/>
      <c r="D28" s="17"/>
    </row>
  </sheetData>
  <dataValidations count="3">
    <dataValidation type="list" showInputMessage="1" showErrorMessage="1" sqref="C15:C18 C20" xr:uid="{656211BD-8161-404C-9D1D-4CCC8431776B}">
      <formula1>"Yes, No"</formula1>
    </dataValidation>
    <dataValidation type="list" showInputMessage="1" showErrorMessage="1" sqref="C13" xr:uid="{CD718DD3-6EF0-4BCD-9E74-33F1D7663055}">
      <formula1>"Major Residential, Minor Residential, Major Commercial, Minor Commercial, PD Residential, PD Commercial"</formula1>
    </dataValidation>
    <dataValidation type="list" showInputMessage="1" showErrorMessage="1" sqref="C14" xr:uid="{B7C6964D-D8E1-4526-80A8-F693486C6176}">
      <formula1>"Major, Minor"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43D7-0AAD-4859-AA56-ED2F5A0D3B6D}">
  <sheetPr codeName="Sheet2"/>
  <dimension ref="A1:EX47"/>
  <sheetViews>
    <sheetView tabSelected="1" zoomScale="114" zoomScaleNormal="85" workbookViewId="0">
      <selection activeCell="B26" sqref="B26"/>
    </sheetView>
  </sheetViews>
  <sheetFormatPr defaultRowHeight="14.5" x14ac:dyDescent="0.35"/>
  <cols>
    <col min="1" max="1" width="1.81640625" customWidth="1"/>
    <col min="2" max="2" width="27" customWidth="1"/>
    <col min="3" max="3" width="19" customWidth="1"/>
    <col min="4" max="4" width="18" customWidth="1"/>
    <col min="5" max="5" width="22.54296875" style="21" hidden="1" customWidth="1"/>
    <col min="6" max="6" width="22.7265625" customWidth="1"/>
    <col min="7" max="7" width="45.453125" customWidth="1"/>
    <col min="8" max="8" width="27.26953125" customWidth="1"/>
  </cols>
  <sheetData>
    <row r="1" spans="1:154" ht="15" thickBot="1" x14ac:dyDescent="0.4"/>
    <row r="2" spans="1:154" s="2" customFormat="1" ht="15" thickBot="1" x14ac:dyDescent="0.4">
      <c r="A2" s="42"/>
      <c r="B2" s="18" t="s">
        <v>164</v>
      </c>
      <c r="C2" s="71"/>
      <c r="D2" s="71"/>
      <c r="E2" s="72"/>
      <c r="F2" s="73"/>
      <c r="G2" s="77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</row>
    <row r="3" spans="1:154" x14ac:dyDescent="0.35">
      <c r="B3" s="83" t="s">
        <v>34</v>
      </c>
      <c r="C3" s="84"/>
      <c r="D3" s="85"/>
      <c r="E3" s="86"/>
      <c r="F3" s="85"/>
      <c r="G3" s="87"/>
    </row>
    <row r="4" spans="1:154" ht="14.5" customHeight="1" thickBot="1" x14ac:dyDescent="0.4">
      <c r="B4" s="83" t="s">
        <v>35</v>
      </c>
      <c r="C4" s="88"/>
      <c r="D4" s="89"/>
      <c r="E4" s="90"/>
      <c r="F4" s="89"/>
      <c r="G4" s="91"/>
    </row>
    <row r="5" spans="1:154" s="2" customFormat="1" ht="15" customHeight="1" x14ac:dyDescent="0.35">
      <c r="A5" s="42"/>
      <c r="B5" s="45" t="s">
        <v>36</v>
      </c>
      <c r="C5" s="74" t="s">
        <v>37</v>
      </c>
      <c r="D5" s="74" t="s">
        <v>38</v>
      </c>
      <c r="E5" s="75" t="s">
        <v>39</v>
      </c>
      <c r="F5" s="76" t="s">
        <v>40</v>
      </c>
      <c r="G5" s="78" t="s">
        <v>158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</row>
    <row r="6" spans="1:154" x14ac:dyDescent="0.35">
      <c r="B6" s="11" t="s">
        <v>41</v>
      </c>
      <c r="C6" s="29">
        <f>F6</f>
        <v>0</v>
      </c>
      <c r="D6" s="28"/>
      <c r="E6" s="26">
        <f>0.65*E16</f>
        <v>0</v>
      </c>
      <c r="F6" s="68">
        <f>IFERROR(ROUNDUP(E6,2),0)</f>
        <v>0</v>
      </c>
      <c r="G6" s="79" t="s">
        <v>64</v>
      </c>
    </row>
    <row r="7" spans="1:154" x14ac:dyDescent="0.35">
      <c r="B7" s="11" t="s">
        <v>42</v>
      </c>
      <c r="C7" s="29">
        <f>F7</f>
        <v>0</v>
      </c>
      <c r="D7" s="28"/>
      <c r="E7" s="26">
        <f>IF('Project Information'!C16="Yes", 'List Data'!B47, IF('Project Information'!C16="No", 'List Data'!B48))</f>
        <v>0</v>
      </c>
      <c r="F7" s="68">
        <f>IFERROR(ROUNDUP(E7,2),0)</f>
        <v>0</v>
      </c>
      <c r="G7" s="79" t="s">
        <v>134</v>
      </c>
    </row>
    <row r="8" spans="1:154" x14ac:dyDescent="0.35">
      <c r="B8" s="11" t="s">
        <v>43</v>
      </c>
      <c r="C8" s="29">
        <f>F8</f>
        <v>0</v>
      </c>
      <c r="D8" s="28"/>
      <c r="E8" s="26">
        <f>IF('Project Information'!C16="Yes", 'List Data'!B49, IF('Project Information'!C16="No", 'List Data'!B48))</f>
        <v>0</v>
      </c>
      <c r="F8" s="68">
        <f>ROUNDUP(E8,2)</f>
        <v>0</v>
      </c>
      <c r="G8" s="79" t="s">
        <v>135</v>
      </c>
    </row>
    <row r="9" spans="1:154" x14ac:dyDescent="0.35">
      <c r="B9" s="11" t="s">
        <v>44</v>
      </c>
      <c r="C9" s="29">
        <f>F9</f>
        <v>0</v>
      </c>
      <c r="D9" s="28"/>
      <c r="E9" s="26">
        <f>IF('Project Information'!C18="Yes",'List Data'!B55, IF('Project Information'!C18="No", 0, " "))</f>
        <v>0</v>
      </c>
      <c r="F9" s="68">
        <f>ROUNDUP(E9,2)</f>
        <v>0</v>
      </c>
      <c r="G9" s="79" t="s">
        <v>136</v>
      </c>
    </row>
    <row r="10" spans="1:154" ht="16.5" x14ac:dyDescent="0.45">
      <c r="B10" s="11" t="s">
        <v>45</v>
      </c>
      <c r="C10" s="29">
        <f>F10/2</f>
        <v>162.5</v>
      </c>
      <c r="D10" s="29">
        <f>F10/2</f>
        <v>162.5</v>
      </c>
      <c r="E10" s="26">
        <f>IF('Project Information'!C13="Minor Commercial", 'List Data'!A15,IF('Project Information'!C13="Minor Residential",'List Data'!A15,IF('Project Information'!C13="Major Commercial",'List Data'!B16,IF('Project Information'!C13="Major Residential",'List Data'!B16,IF('Project Information'!C13="PD Commercial",'List Data'!A17,IF('Project Information'!C13="PD Residential",'List Data'!A17," "))))))</f>
        <v>325</v>
      </c>
      <c r="F10" s="68">
        <f>ROUNDUP(E10,2)</f>
        <v>325</v>
      </c>
      <c r="G10" s="79" t="s">
        <v>157</v>
      </c>
      <c r="H10" s="67"/>
      <c r="K10" s="43"/>
    </row>
    <row r="11" spans="1:154" ht="29" x14ac:dyDescent="0.35">
      <c r="B11" s="46" t="s">
        <v>46</v>
      </c>
      <c r="C11" s="29">
        <f>F11/2</f>
        <v>0</v>
      </c>
      <c r="D11" s="29">
        <f>F11/2</f>
        <v>0</v>
      </c>
      <c r="E11" s="26" t="b">
        <f>IF(AND(C37&gt;=400),0.5*(C37))</f>
        <v>0</v>
      </c>
      <c r="F11" s="68">
        <f t="shared" ref="F11:F14" si="0">ROUNDUP(E11,2)</f>
        <v>0</v>
      </c>
      <c r="G11" s="79" t="s">
        <v>135</v>
      </c>
    </row>
    <row r="12" spans="1:154" x14ac:dyDescent="0.35">
      <c r="B12" s="11" t="s">
        <v>152</v>
      </c>
      <c r="C12" s="29">
        <f>F12</f>
        <v>0</v>
      </c>
      <c r="D12" s="28"/>
      <c r="E12" s="26">
        <f>IF('Project Information'!C14="Major",'List Data'!B51,IF('Project Information'!C14="Minor",'List Data'!B52,IF('Project Information'!C14="Not Required",'List Data'!B53," ")))</f>
        <v>0</v>
      </c>
      <c r="F12" s="68">
        <f>ROUNDUP(E12,2)</f>
        <v>0</v>
      </c>
      <c r="G12" s="79" t="s">
        <v>137</v>
      </c>
    </row>
    <row r="13" spans="1:154" x14ac:dyDescent="0.35">
      <c r="B13" s="11" t="s">
        <v>47</v>
      </c>
      <c r="C13" s="29">
        <f>E13</f>
        <v>0</v>
      </c>
      <c r="D13" s="28"/>
      <c r="E13" s="26">
        <f>IFERROR(IF('Project Information'!C15="Yes", 0.15*E16, " "),0)</f>
        <v>0</v>
      </c>
      <c r="F13" s="68">
        <f>IFERROR(ROUNDUP(E13,2),0)</f>
        <v>0</v>
      </c>
      <c r="G13" s="79" t="s">
        <v>76</v>
      </c>
    </row>
    <row r="14" spans="1:154" x14ac:dyDescent="0.35">
      <c r="B14" s="11" t="s">
        <v>48</v>
      </c>
      <c r="C14" s="31"/>
      <c r="D14" s="29">
        <f>F14</f>
        <v>0</v>
      </c>
      <c r="E14" s="26">
        <f>MAX(0,0.5*('Project Information'!C6-100000))*0.021</f>
        <v>0</v>
      </c>
      <c r="F14" s="68">
        <f t="shared" si="0"/>
        <v>0</v>
      </c>
      <c r="G14" s="79" t="s">
        <v>76</v>
      </c>
    </row>
    <row r="15" spans="1:154" x14ac:dyDescent="0.35">
      <c r="B15" s="11" t="s">
        <v>49</v>
      </c>
      <c r="C15" s="31"/>
      <c r="D15" s="29">
        <f>F15</f>
        <v>0</v>
      </c>
      <c r="E15" s="26">
        <f>0.005*('Project Information'!C6/10)</f>
        <v>0</v>
      </c>
      <c r="F15" s="68">
        <f>ROUNDUP(E15,2)</f>
        <v>0</v>
      </c>
      <c r="G15" s="79" t="s">
        <v>64</v>
      </c>
    </row>
    <row r="16" spans="1:154" x14ac:dyDescent="0.35">
      <c r="B16" s="11" t="s">
        <v>50</v>
      </c>
      <c r="C16" s="31"/>
      <c r="D16" s="29">
        <f>F16</f>
        <v>0</v>
      </c>
      <c r="E16" s="26">
        <f>IFERROR(INDEX('Fee Data'!C2:C11, 'Fee Data'!H11) * (INDEX('Fee Data'!D2:D11, 'Fee Data'!H11) + INDEX('Fee Data'!E2:E11, 'Fee Data'!H11) * ('Project Information'!C6 - INDEX('Fee Data'!A2:A11, 'Fee Data'!H11) )),0)</f>
        <v>0</v>
      </c>
      <c r="F16" s="68">
        <f>IFERROR(ROUNDUP(E16,2),0)</f>
        <v>0</v>
      </c>
      <c r="G16" s="79" t="s">
        <v>64</v>
      </c>
    </row>
    <row r="17" spans="2:8" x14ac:dyDescent="0.35">
      <c r="B17" s="11" t="s">
        <v>51</v>
      </c>
      <c r="C17" s="31"/>
      <c r="D17" s="29">
        <f>F17</f>
        <v>500</v>
      </c>
      <c r="E17" s="26">
        <f>IF('Project Information'!C17="Yes", 500, " ")</f>
        <v>500</v>
      </c>
      <c r="F17" s="68">
        <f>IFERROR(ROUNDUP(E17,2),0)</f>
        <v>500</v>
      </c>
      <c r="G17" s="79" t="s">
        <v>75</v>
      </c>
    </row>
    <row r="18" spans="2:8" x14ac:dyDescent="0.35">
      <c r="B18" s="10" t="s">
        <v>165</v>
      </c>
      <c r="C18" s="32"/>
      <c r="D18" s="33"/>
      <c r="E18" s="34"/>
      <c r="F18" s="69"/>
      <c r="G18" s="80"/>
    </row>
    <row r="19" spans="2:8" x14ac:dyDescent="0.35">
      <c r="B19" s="11" t="s">
        <v>52</v>
      </c>
      <c r="C19" s="31"/>
      <c r="D19" s="29">
        <f>IFERROR('Planning Impact Fees'!D17, 0)</f>
        <v>0</v>
      </c>
      <c r="E19" s="26">
        <f>D19</f>
        <v>0</v>
      </c>
      <c r="F19" s="68">
        <f>E19</f>
        <v>0</v>
      </c>
      <c r="G19" s="79" t="s">
        <v>151</v>
      </c>
    </row>
    <row r="20" spans="2:8" ht="23.5" customHeight="1" x14ac:dyDescent="0.35">
      <c r="B20" s="46" t="s">
        <v>53</v>
      </c>
      <c r="C20" s="31"/>
      <c r="D20" s="26">
        <f>IFERROR('Planning Impact Fees'!E6,0)</f>
        <v>0</v>
      </c>
      <c r="E20" s="26">
        <f>D20</f>
        <v>0</v>
      </c>
      <c r="F20" s="68">
        <f>E20</f>
        <v>0</v>
      </c>
      <c r="G20" s="79" t="s">
        <v>151</v>
      </c>
    </row>
    <row r="21" spans="2:8" x14ac:dyDescent="0.35">
      <c r="B21" s="11" t="s">
        <v>54</v>
      </c>
      <c r="C21" s="31"/>
      <c r="D21" s="29">
        <f>IFERROR('Planning Impact Fees'!D23,0)</f>
        <v>0</v>
      </c>
      <c r="E21" s="26">
        <f>D21</f>
        <v>0</v>
      </c>
      <c r="F21" s="68">
        <f t="shared" ref="F21:F22" si="1">E21</f>
        <v>0</v>
      </c>
      <c r="G21" s="79"/>
    </row>
    <row r="22" spans="2:8" x14ac:dyDescent="0.35">
      <c r="B22" s="11" t="s">
        <v>55</v>
      </c>
      <c r="C22" s="31"/>
      <c r="D22" s="21">
        <f>IFERROR('Planning Impact Fees'!D20,0)</f>
        <v>0</v>
      </c>
      <c r="E22" s="26">
        <f>D22</f>
        <v>0</v>
      </c>
      <c r="F22" s="68">
        <f t="shared" si="1"/>
        <v>0</v>
      </c>
      <c r="G22" s="79"/>
    </row>
    <row r="23" spans="2:8" x14ac:dyDescent="0.35">
      <c r="B23" s="11" t="s">
        <v>56</v>
      </c>
      <c r="C23" s="28"/>
      <c r="D23" s="26" t="s">
        <v>57</v>
      </c>
      <c r="E23" s="26"/>
      <c r="F23" s="68" t="s">
        <v>57</v>
      </c>
      <c r="G23" s="79" t="s">
        <v>151</v>
      </c>
    </row>
    <row r="24" spans="2:8" x14ac:dyDescent="0.35">
      <c r="B24" s="11" t="s">
        <v>58</v>
      </c>
      <c r="C24" s="28"/>
      <c r="D24" s="26" t="s">
        <v>57</v>
      </c>
      <c r="E24" s="26"/>
      <c r="F24" s="68" t="s">
        <v>57</v>
      </c>
      <c r="G24" s="79" t="s">
        <v>151</v>
      </c>
    </row>
    <row r="25" spans="2:8" ht="15" thickBot="1" x14ac:dyDescent="0.4">
      <c r="B25" s="55" t="s">
        <v>166</v>
      </c>
      <c r="C25" s="56">
        <f>SUM(C6:C24)</f>
        <v>162.5</v>
      </c>
      <c r="D25" s="56">
        <f>IFERROR(SUM(D6:D24),0)</f>
        <v>662.5</v>
      </c>
      <c r="E25" s="56">
        <f>SUM(E6:E24)</f>
        <v>825</v>
      </c>
      <c r="F25" s="70">
        <f>SUM(F6:F24)</f>
        <v>825</v>
      </c>
      <c r="G25" s="81"/>
    </row>
    <row r="27" spans="2:8" x14ac:dyDescent="0.35">
      <c r="B27" s="50" t="s">
        <v>154</v>
      </c>
      <c r="C27" s="22"/>
      <c r="D27" s="35"/>
      <c r="E27" s="23"/>
      <c r="F27" s="35"/>
      <c r="G27" s="36"/>
      <c r="H27" s="82"/>
    </row>
    <row r="28" spans="2:8" x14ac:dyDescent="0.35">
      <c r="B28" s="51" t="s">
        <v>155</v>
      </c>
      <c r="C28" s="82"/>
      <c r="D28" s="82"/>
      <c r="E28" s="24"/>
      <c r="F28" s="82"/>
      <c r="G28" s="37"/>
      <c r="H28" s="82"/>
    </row>
    <row r="29" spans="2:8" x14ac:dyDescent="0.35">
      <c r="B29" s="52" t="s">
        <v>59</v>
      </c>
      <c r="C29" s="82"/>
      <c r="D29" s="82"/>
      <c r="E29" s="24"/>
      <c r="F29" s="82"/>
      <c r="G29" s="37"/>
      <c r="H29" s="82"/>
    </row>
    <row r="30" spans="2:8" x14ac:dyDescent="0.35">
      <c r="B30" s="52" t="s">
        <v>60</v>
      </c>
      <c r="C30" s="82"/>
      <c r="D30" s="82"/>
      <c r="E30" s="24"/>
      <c r="F30" s="82"/>
      <c r="G30" s="37"/>
      <c r="H30" s="82"/>
    </row>
    <row r="31" spans="2:8" x14ac:dyDescent="0.35">
      <c r="B31" s="53" t="s">
        <v>61</v>
      </c>
      <c r="C31" s="82"/>
      <c r="D31" s="82"/>
      <c r="E31" s="24"/>
      <c r="F31" s="82"/>
      <c r="G31" s="37"/>
      <c r="H31" s="82"/>
    </row>
    <row r="32" spans="2:8" x14ac:dyDescent="0.35">
      <c r="B32" s="54" t="s">
        <v>62</v>
      </c>
      <c r="C32" s="38"/>
      <c r="D32" s="38"/>
      <c r="E32" s="25"/>
      <c r="F32" s="38"/>
      <c r="G32" s="39"/>
      <c r="H32" s="82"/>
    </row>
    <row r="33" spans="2:5" x14ac:dyDescent="0.35">
      <c r="B33" s="5" t="s">
        <v>63</v>
      </c>
      <c r="C33" s="44"/>
    </row>
    <row r="34" spans="2:5" x14ac:dyDescent="0.35">
      <c r="B34" s="28" t="s">
        <v>64</v>
      </c>
      <c r="C34" s="26">
        <f>'Project Information'!C6</f>
        <v>0</v>
      </c>
    </row>
    <row r="35" spans="2:5" x14ac:dyDescent="0.35">
      <c r="B35" s="28" t="s">
        <v>65</v>
      </c>
      <c r="C35" s="40">
        <f>'Project Information'!C7</f>
        <v>0</v>
      </c>
    </row>
    <row r="36" spans="2:5" x14ac:dyDescent="0.35">
      <c r="B36" s="28" t="s">
        <v>66</v>
      </c>
      <c r="C36" s="40">
        <f>'Project Information'!C8</f>
        <v>0</v>
      </c>
    </row>
    <row r="37" spans="2:5" x14ac:dyDescent="0.35">
      <c r="B37" s="28" t="s">
        <v>67</v>
      </c>
      <c r="C37" s="40">
        <f>'Project Information'!C7+'Project Information'!C8</f>
        <v>0</v>
      </c>
    </row>
    <row r="38" spans="2:5" x14ac:dyDescent="0.35">
      <c r="B38" s="28" t="s">
        <v>68</v>
      </c>
      <c r="C38" s="41">
        <f>IF('List Data'!B46+'Project Information'!C8&gt;='Project Information'!C11, 'Project Information'!C11, IF('List Data'!B46+'Project Information'!C8&lt;'Project Information'!C11, 'List Data'!B46+'Project Information'!C8, ))</f>
        <v>0</v>
      </c>
    </row>
    <row r="39" spans="2:5" hidden="1" x14ac:dyDescent="0.35">
      <c r="B39" s="28" t="s">
        <v>68</v>
      </c>
      <c r="C39" s="41">
        <f>IF(C38&gt;='Project Information'!C11,'Project Information'!C11, C38)</f>
        <v>0</v>
      </c>
    </row>
    <row r="40" spans="2:5" x14ac:dyDescent="0.35">
      <c r="B40" s="28" t="s">
        <v>6</v>
      </c>
      <c r="C40" s="41">
        <f>'Project Information'!C11</f>
        <v>0</v>
      </c>
    </row>
    <row r="41" spans="2:5" x14ac:dyDescent="0.35">
      <c r="B41" s="28" t="s">
        <v>69</v>
      </c>
      <c r="C41" s="41">
        <f>'Project Information'!C9</f>
        <v>0</v>
      </c>
    </row>
    <row r="42" spans="2:5" x14ac:dyDescent="0.35">
      <c r="B42" s="28" t="s">
        <v>70</v>
      </c>
      <c r="C42" s="41">
        <f>C41+C36</f>
        <v>0</v>
      </c>
    </row>
    <row r="43" spans="2:5" x14ac:dyDescent="0.35">
      <c r="B43" s="28" t="s">
        <v>8</v>
      </c>
      <c r="C43" s="41" t="str">
        <f>'Project Information'!C13</f>
        <v>Major Residential</v>
      </c>
    </row>
    <row r="44" spans="2:5" ht="15.75" customHeight="1" x14ac:dyDescent="0.35">
      <c r="B44" s="28" t="s">
        <v>71</v>
      </c>
      <c r="C44" s="41" t="str">
        <f>'Project Information'!C14</f>
        <v>Major</v>
      </c>
    </row>
    <row r="45" spans="2:5" x14ac:dyDescent="0.35">
      <c r="B45" s="28" t="s">
        <v>72</v>
      </c>
      <c r="C45" s="40">
        <f>'Project Information'!C22-'Project Information'!C21</f>
        <v>0</v>
      </c>
      <c r="E45" s="27"/>
    </row>
    <row r="46" spans="2:5" ht="30.75" customHeight="1" x14ac:dyDescent="0.35">
      <c r="B46" s="30" t="s">
        <v>73</v>
      </c>
      <c r="C46" s="40">
        <f>'Project Information'!C24-'Project Information'!C23</f>
        <v>0</v>
      </c>
    </row>
    <row r="47" spans="2:5" x14ac:dyDescent="0.35">
      <c r="B47" s="30" t="s">
        <v>74</v>
      </c>
      <c r="C47" s="66">
        <f>'Planning Impact Fees'!D6</f>
        <v>0</v>
      </c>
    </row>
  </sheetData>
  <sheetProtection algorithmName="SHA-512" hashValue="yNVrLN169XG8B/b3f2v/Qh3iK7Dtl+PbHolKkYWKo9I4PwtDpOOnQsxCrJ6vwy6gZnLRl4IvNAyeSSjSEeF7Qg==" saltValue="SfNeHJUbKoZr74yQZIt1O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2938-0CD3-4DCF-90D3-F2C764E09160}">
  <dimension ref="A1:H21"/>
  <sheetViews>
    <sheetView zoomScale="85" workbookViewId="0">
      <selection activeCell="I32" sqref="I32"/>
    </sheetView>
  </sheetViews>
  <sheetFormatPr defaultRowHeight="14.5" x14ac:dyDescent="0.35"/>
  <cols>
    <col min="1" max="1" width="17.81640625" customWidth="1"/>
    <col min="4" max="4" width="10.81640625" customWidth="1"/>
    <col min="7" max="7" width="11.453125" customWidth="1"/>
  </cols>
  <sheetData>
    <row r="1" spans="1:8" x14ac:dyDescent="0.35">
      <c r="A1" s="1" t="s">
        <v>116</v>
      </c>
      <c r="B1" s="1" t="s">
        <v>117</v>
      </c>
      <c r="C1" s="1" t="s">
        <v>118</v>
      </c>
      <c r="D1" s="1" t="s">
        <v>119</v>
      </c>
      <c r="E1" s="1" t="s">
        <v>120</v>
      </c>
    </row>
    <row r="2" spans="1:8" x14ac:dyDescent="0.35">
      <c r="A2">
        <v>1</v>
      </c>
      <c r="B2">
        <v>5000</v>
      </c>
      <c r="C2">
        <v>1</v>
      </c>
      <c r="D2">
        <v>25</v>
      </c>
      <c r="E2">
        <v>0</v>
      </c>
    </row>
    <row r="3" spans="1:8" x14ac:dyDescent="0.35">
      <c r="A3">
        <v>5000.01</v>
      </c>
      <c r="B3">
        <v>50000</v>
      </c>
      <c r="C3">
        <v>0.5</v>
      </c>
      <c r="D3">
        <v>25</v>
      </c>
      <c r="E3">
        <v>0.05</v>
      </c>
    </row>
    <row r="4" spans="1:8" x14ac:dyDescent="0.35">
      <c r="A4">
        <v>50000.01</v>
      </c>
      <c r="B4">
        <v>10000</v>
      </c>
      <c r="C4">
        <v>0.75</v>
      </c>
      <c r="D4">
        <v>2275</v>
      </c>
      <c r="E4">
        <v>3.5000000000000003E-2</v>
      </c>
    </row>
    <row r="5" spans="1:8" x14ac:dyDescent="0.35">
      <c r="A5">
        <v>100000.01</v>
      </c>
      <c r="B5">
        <v>250000</v>
      </c>
      <c r="C5">
        <v>1</v>
      </c>
      <c r="D5">
        <v>4025</v>
      </c>
      <c r="E5">
        <v>2.5000000000000001E-2</v>
      </c>
    </row>
    <row r="6" spans="1:8" x14ac:dyDescent="0.35">
      <c r="A6">
        <v>250000.01</v>
      </c>
      <c r="B6">
        <v>500000</v>
      </c>
      <c r="C6">
        <v>1</v>
      </c>
      <c r="D6">
        <v>7775</v>
      </c>
      <c r="E6">
        <v>0.02</v>
      </c>
    </row>
    <row r="7" spans="1:8" x14ac:dyDescent="0.35">
      <c r="A7">
        <v>500000.01</v>
      </c>
      <c r="B7">
        <v>1000000</v>
      </c>
      <c r="C7">
        <v>1</v>
      </c>
      <c r="D7">
        <v>12775</v>
      </c>
      <c r="E7">
        <v>1.7500000000000002E-2</v>
      </c>
    </row>
    <row r="8" spans="1:8" x14ac:dyDescent="0.35">
      <c r="A8">
        <v>1000000.01</v>
      </c>
      <c r="B8">
        <v>2500000</v>
      </c>
      <c r="C8">
        <v>1</v>
      </c>
      <c r="D8">
        <v>21525</v>
      </c>
      <c r="E8">
        <v>1.4999999999999999E-2</v>
      </c>
    </row>
    <row r="9" spans="1:8" x14ac:dyDescent="0.35">
      <c r="A9">
        <v>2500000.0099999998</v>
      </c>
      <c r="B9">
        <v>5000000</v>
      </c>
      <c r="C9">
        <v>1</v>
      </c>
      <c r="D9">
        <v>44025</v>
      </c>
      <c r="E9">
        <v>1.2500000000000001E-2</v>
      </c>
    </row>
    <row r="10" spans="1:8" x14ac:dyDescent="0.35">
      <c r="A10">
        <v>5000000.01</v>
      </c>
      <c r="B10">
        <v>10000000</v>
      </c>
      <c r="C10">
        <v>1</v>
      </c>
      <c r="D10">
        <v>75275</v>
      </c>
      <c r="E10">
        <v>7.4999999999999997E-3</v>
      </c>
    </row>
    <row r="11" spans="1:8" x14ac:dyDescent="0.35">
      <c r="A11">
        <v>10000000.01</v>
      </c>
      <c r="C11">
        <v>1</v>
      </c>
      <c r="D11">
        <v>112775</v>
      </c>
      <c r="E11">
        <v>5.0000000000000001E-3</v>
      </c>
      <c r="G11" t="s">
        <v>131</v>
      </c>
      <c r="H11" t="e">
        <f>MATCH('Project Information'!C6, 'Fee Data'!A2:A11)</f>
        <v>#N/A</v>
      </c>
    </row>
    <row r="15" spans="1:8" x14ac:dyDescent="0.35">
      <c r="A15" s="1" t="s">
        <v>121</v>
      </c>
      <c r="B15" s="1" t="s">
        <v>127</v>
      </c>
      <c r="C15" s="1" t="s">
        <v>128</v>
      </c>
      <c r="D15" s="1" t="s">
        <v>129</v>
      </c>
      <c r="E15" s="1" t="s">
        <v>130</v>
      </c>
    </row>
    <row r="16" spans="1:8" x14ac:dyDescent="0.35">
      <c r="A16" t="s">
        <v>122</v>
      </c>
      <c r="B16" s="49">
        <v>325</v>
      </c>
      <c r="C16" s="49">
        <v>650</v>
      </c>
      <c r="D16" s="49">
        <v>975</v>
      </c>
      <c r="E16" s="49">
        <v>1300</v>
      </c>
    </row>
    <row r="17" spans="1:5" x14ac:dyDescent="0.35">
      <c r="A17" t="s">
        <v>19</v>
      </c>
      <c r="B17" s="49">
        <f>1.3*'Project Information'!$C$7</f>
        <v>0</v>
      </c>
      <c r="C17" s="49">
        <f>1.4*'Project Information'!$C$7</f>
        <v>0</v>
      </c>
      <c r="D17" s="49">
        <f>1.55*'Project Information'!$C$7</f>
        <v>0</v>
      </c>
      <c r="E17" s="49">
        <f>1.7*'Project Information'!$C$7</f>
        <v>0</v>
      </c>
    </row>
    <row r="18" spans="1:5" x14ac:dyDescent="0.35">
      <c r="A18" t="s">
        <v>123</v>
      </c>
      <c r="B18" s="49">
        <f>1.25*B17</f>
        <v>0</v>
      </c>
      <c r="C18" s="49">
        <f t="shared" ref="C18:D18" si="0">1.25*C17</f>
        <v>0</v>
      </c>
      <c r="D18" s="49">
        <f t="shared" si="0"/>
        <v>0</v>
      </c>
      <c r="E18" s="49">
        <f>1.25*E17</f>
        <v>0</v>
      </c>
    </row>
    <row r="19" spans="1:5" x14ac:dyDescent="0.35">
      <c r="A19" t="s">
        <v>124</v>
      </c>
      <c r="B19" s="49">
        <v>325</v>
      </c>
      <c r="C19" s="49">
        <v>650</v>
      </c>
      <c r="D19" s="49">
        <v>975</v>
      </c>
      <c r="E19" s="49">
        <v>1300</v>
      </c>
    </row>
    <row r="20" spans="1:5" x14ac:dyDescent="0.35">
      <c r="A20" t="s">
        <v>125</v>
      </c>
      <c r="B20" s="49">
        <f>1.3*'Project Information'!$C$7</f>
        <v>0</v>
      </c>
      <c r="C20" s="49">
        <f>1.4*'Project Information'!$C$7</f>
        <v>0</v>
      </c>
      <c r="D20" s="49">
        <f>1.55*'Project Information'!$C$7</f>
        <v>0</v>
      </c>
      <c r="E20" s="49">
        <f>1.7*'Project Information'!$C$7</f>
        <v>0</v>
      </c>
    </row>
    <row r="21" spans="1:5" x14ac:dyDescent="0.35">
      <c r="A21" t="s">
        <v>126</v>
      </c>
      <c r="B21" s="49">
        <f>1.25*B20</f>
        <v>0</v>
      </c>
      <c r="C21" s="49">
        <f t="shared" ref="C21:E21" si="1">1.25*C20</f>
        <v>0</v>
      </c>
      <c r="D21" s="49">
        <f t="shared" si="1"/>
        <v>0</v>
      </c>
      <c r="E21" s="49">
        <f t="shared" si="1"/>
        <v>0</v>
      </c>
    </row>
  </sheetData>
  <sheetProtection algorithmName="SHA-512" hashValue="bkvVmsgMoLMMaCSBorrySXbzYCaqCk2//MruDTf0EWPdAsdXSfCbCC9R8eBTKLei3K9XtdO0rBU7whNuZUMhQA==" saltValue="s2x/AJZUaQZCgvrnpotrD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87DD-A336-4E4C-B439-E9A30F7AC3B5}">
  <sheetPr codeName="Sheet4"/>
  <dimension ref="A1:D60"/>
  <sheetViews>
    <sheetView topLeftCell="A3" workbookViewId="0">
      <selection activeCell="I32" sqref="I32"/>
    </sheetView>
  </sheetViews>
  <sheetFormatPr defaultRowHeight="14.5" x14ac:dyDescent="0.35"/>
  <cols>
    <col min="1" max="1" width="17.81640625" customWidth="1"/>
    <col min="2" max="2" width="8.7265625" customWidth="1"/>
  </cols>
  <sheetData>
    <row r="1" spans="1:2" x14ac:dyDescent="0.35">
      <c r="A1" t="s">
        <v>21</v>
      </c>
    </row>
    <row r="2" spans="1:2" x14ac:dyDescent="0.35">
      <c r="A2" t="s">
        <v>85</v>
      </c>
    </row>
    <row r="5" spans="1:2" x14ac:dyDescent="0.35">
      <c r="A5" t="s">
        <v>86</v>
      </c>
    </row>
    <row r="6" spans="1:2" x14ac:dyDescent="0.35">
      <c r="A6" t="s">
        <v>87</v>
      </c>
    </row>
    <row r="7" spans="1:2" x14ac:dyDescent="0.35">
      <c r="A7" t="s">
        <v>19</v>
      </c>
    </row>
    <row r="8" spans="1:2" x14ac:dyDescent="0.35">
      <c r="A8" t="s">
        <v>88</v>
      </c>
    </row>
    <row r="9" spans="1:2" x14ac:dyDescent="0.35">
      <c r="A9" t="s">
        <v>89</v>
      </c>
    </row>
    <row r="10" spans="1:2" x14ac:dyDescent="0.35">
      <c r="A10" t="s">
        <v>90</v>
      </c>
    </row>
    <row r="14" spans="1:2" x14ac:dyDescent="0.35">
      <c r="A14" t="s">
        <v>153</v>
      </c>
    </row>
    <row r="15" spans="1:2" x14ac:dyDescent="0.35">
      <c r="A15">
        <f>IF('Project Information'!C6&lt;5000, 33, IF('Project Information'!C7&lt;=500, 325, IF(AND('Project Information'!C7&gt;500,'Project Information'!C7&lt;2501), 650, IF(AND('Project Information'!C7&gt;2501,'Project Information'!C7&lt;5000), 975, IF('Project Information'!C7&gt;5001, 1300)))))</f>
        <v>33</v>
      </c>
    </row>
    <row r="16" spans="1:2" x14ac:dyDescent="0.35">
      <c r="A16">
        <f>IF('Project Information'!C6&lt;5000, 33, IF('Project Information'!C7&lt;=500, 'Project Information'!C7*1.3, IF(AND('Project Information'!C7&gt;500,'Project Information'!C7&lt;2501), 'Project Information'!C7*1.4, IF(AND('Project Information'!C7&gt;2501,'Project Information'!C7&lt;5000), 'Project Information'!C7*1.55, IF('Project Information'!C7&gt;5001, 'Project Information'!C7*1.7)))))</f>
        <v>33</v>
      </c>
      <c r="B16">
        <f>MAX(A16, 325)</f>
        <v>325</v>
      </c>
    </row>
    <row r="17" spans="1:2" x14ac:dyDescent="0.35">
      <c r="A17">
        <f>B16*1.25</f>
        <v>406.25</v>
      </c>
    </row>
    <row r="20" spans="1:2" x14ac:dyDescent="0.35">
      <c r="A20" t="s">
        <v>91</v>
      </c>
    </row>
    <row r="21" spans="1:2" x14ac:dyDescent="0.35">
      <c r="A21">
        <v>6.3999999999999997E-5</v>
      </c>
    </row>
    <row r="22" spans="1:2" x14ac:dyDescent="0.35">
      <c r="A22">
        <v>4.0400000000000001E-4</v>
      </c>
    </row>
    <row r="23" spans="1:2" x14ac:dyDescent="0.35">
      <c r="A23">
        <v>3.1000000000000001E-5</v>
      </c>
    </row>
    <row r="24" spans="1:2" x14ac:dyDescent="0.35">
      <c r="A24">
        <v>0</v>
      </c>
    </row>
    <row r="26" spans="1:2" x14ac:dyDescent="0.35">
      <c r="A26" t="s">
        <v>132</v>
      </c>
    </row>
    <row r="27" spans="1:2" x14ac:dyDescent="0.35">
      <c r="A27">
        <v>0.16</v>
      </c>
    </row>
    <row r="28" spans="1:2" x14ac:dyDescent="0.35">
      <c r="A28">
        <v>0.36</v>
      </c>
    </row>
    <row r="29" spans="1:2" x14ac:dyDescent="0.35">
      <c r="A29">
        <v>376475</v>
      </c>
    </row>
    <row r="31" spans="1:2" x14ac:dyDescent="0.35">
      <c r="A31" t="s">
        <v>92</v>
      </c>
    </row>
    <row r="32" spans="1:2" x14ac:dyDescent="0.35">
      <c r="A32" t="s">
        <v>93</v>
      </c>
      <c r="B32">
        <v>5.45</v>
      </c>
    </row>
    <row r="33" spans="1:2" x14ac:dyDescent="0.35">
      <c r="A33" t="s">
        <v>94</v>
      </c>
      <c r="B33">
        <v>4.0999999999999996</v>
      </c>
    </row>
    <row r="35" spans="1:2" x14ac:dyDescent="0.35">
      <c r="A35" t="s">
        <v>95</v>
      </c>
    </row>
    <row r="36" spans="1:2" x14ac:dyDescent="0.35">
      <c r="A36" t="s">
        <v>93</v>
      </c>
      <c r="B36">
        <v>0.61</v>
      </c>
    </row>
    <row r="37" spans="1:2" x14ac:dyDescent="0.35">
      <c r="A37" t="s">
        <v>94</v>
      </c>
      <c r="B37">
        <v>0.46</v>
      </c>
    </row>
    <row r="40" spans="1:2" x14ac:dyDescent="0.35">
      <c r="A40" t="s">
        <v>20</v>
      </c>
    </row>
    <row r="41" spans="1:2" x14ac:dyDescent="0.35">
      <c r="A41" t="s">
        <v>96</v>
      </c>
    </row>
    <row r="42" spans="1:2" x14ac:dyDescent="0.35">
      <c r="A42" t="s">
        <v>97</v>
      </c>
    </row>
    <row r="46" spans="1:2" x14ac:dyDescent="0.35">
      <c r="A46" t="s">
        <v>98</v>
      </c>
      <c r="B46" s="49">
        <f>IF('Project Information'!C10=" ", 'Project Information'!C7, IF('Project Information'!C7&lt;'Project Information'!C10,'Project Information'!C7,IF('Project Information'!C7&gt;='Project Information'!C10,'Project Information'!C10,0)))</f>
        <v>0</v>
      </c>
    </row>
    <row r="47" spans="1:2" x14ac:dyDescent="0.35">
      <c r="A47" t="s">
        <v>68</v>
      </c>
      <c r="B47">
        <f>IF(AND('Fee Summary'!C38&gt;200,'Fee Summary'!C38&lt;=500),700,IF(AND('Fee Summary'!C38&gt;500,'Fee Summary'!C38&lt;=1000),1350,IF(AND('Fee Summary'!C38&gt;1000),1.6*('Fee Summary'!C38),)))</f>
        <v>0</v>
      </c>
    </row>
    <row r="48" spans="1:2" x14ac:dyDescent="0.35">
      <c r="A48" t="s">
        <v>99</v>
      </c>
      <c r="B48">
        <v>0</v>
      </c>
    </row>
    <row r="49" spans="1:4" x14ac:dyDescent="0.35">
      <c r="A49" t="s">
        <v>133</v>
      </c>
      <c r="B49">
        <f>0.4*'Fee Summary'!C39</f>
        <v>0</v>
      </c>
      <c r="D49" t="s">
        <v>139</v>
      </c>
    </row>
    <row r="51" spans="1:4" x14ac:dyDescent="0.35">
      <c r="A51" t="s">
        <v>100</v>
      </c>
      <c r="B51">
        <f>IF('Fee Summary'!C42=0,0,IF(AND('Fee Summary'!C42&gt;0,'Fee Summary'!C42&lt;=200),400,IF(AND('Fee Summary'!C42&gt;200.1,'Fee Summary'!C42&lt;=5000),2.36*('Fee Summary'!C42),IF(AND('Fee Summary'!C42&gt;5000.1,'Fee Summary'!C42&lt;=15000),11800+(1.97*('Fee Summary'!C42-5000)),IF('Fee Summary'!C42&gt;15001,31500+1.81*('Fee Summary'!C42-15000)," ")))))</f>
        <v>0</v>
      </c>
      <c r="D51" t="s">
        <v>138</v>
      </c>
    </row>
    <row r="52" spans="1:4" x14ac:dyDescent="0.35">
      <c r="A52" t="s">
        <v>101</v>
      </c>
      <c r="B52">
        <f>IF('Fee Summary'!C42=0,0,IF(AND('Fee Summary'!C42&gt;0,'Fee Summary'!C42&lt;=200),400,IF(AND('Fee Summary'!C42&gt;200.1,'Fee Summary'!C42&lt;=5000),2.36*('Fee Summary'!C42),IF(AND('Fee Summary'!C42&gt;5000.1,'Fee Summary'!C42&lt;=15000),11800+(1.97*('Fee Summary'!C42-5000)),IF('Fee Summary'!C42&gt;15001,31500+1.81*('Fee Summary'!C42-15000)," ")))))</f>
        <v>0</v>
      </c>
    </row>
    <row r="53" spans="1:4" x14ac:dyDescent="0.35">
      <c r="A53" t="s">
        <v>85</v>
      </c>
      <c r="B53">
        <v>0</v>
      </c>
    </row>
    <row r="55" spans="1:4" x14ac:dyDescent="0.35">
      <c r="A55" t="s">
        <v>102</v>
      </c>
      <c r="B55">
        <f>0.28*'Project Information'!C8</f>
        <v>0</v>
      </c>
    </row>
    <row r="56" spans="1:4" x14ac:dyDescent="0.35">
      <c r="A56" t="s">
        <v>103</v>
      </c>
      <c r="B56">
        <v>0</v>
      </c>
    </row>
    <row r="58" spans="1:4" x14ac:dyDescent="0.35">
      <c r="A58" t="s">
        <v>104</v>
      </c>
    </row>
    <row r="59" spans="1:4" x14ac:dyDescent="0.35">
      <c r="A59" t="s">
        <v>21</v>
      </c>
    </row>
    <row r="60" spans="1:4" x14ac:dyDescent="0.35">
      <c r="A60" t="s">
        <v>85</v>
      </c>
    </row>
  </sheetData>
  <sheetProtection algorithmName="SHA-512" hashValue="9Fv4gMZxkVSJIiiJCJiz14IyInBAs4qC+hm14NkkNqy/e861YwJ9QMJGsK9iIbmy9cpnp6SGfzBZwFA8EcoCLQ==" saltValue="09+Zwu04QQ07DeKBr89xu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08BE-6DD7-4FF1-BF35-1528F8294D82}">
  <sheetPr codeName="Sheet3"/>
  <dimension ref="A1:G23"/>
  <sheetViews>
    <sheetView workbookViewId="0">
      <selection activeCell="I32" sqref="I32"/>
    </sheetView>
  </sheetViews>
  <sheetFormatPr defaultRowHeight="14.5" x14ac:dyDescent="0.35"/>
  <cols>
    <col min="1" max="1" width="17.81640625" customWidth="1"/>
    <col min="2" max="2" width="28.1796875" customWidth="1"/>
    <col min="3" max="3" width="31.453125" customWidth="1"/>
    <col min="4" max="4" width="23.54296875" customWidth="1"/>
    <col min="5" max="5" width="25.26953125" customWidth="1"/>
    <col min="6" max="6" width="32.81640625" customWidth="1"/>
    <col min="7" max="7" width="30.54296875" customWidth="1"/>
    <col min="8" max="8" width="28" customWidth="1"/>
    <col min="9" max="9" width="19.81640625" customWidth="1"/>
    <col min="10" max="10" width="14.81640625" customWidth="1"/>
    <col min="11" max="11" width="28.81640625" customWidth="1"/>
  </cols>
  <sheetData>
    <row r="1" spans="1:7" s="57" customFormat="1" x14ac:dyDescent="0.35">
      <c r="A1" s="57" t="s">
        <v>111</v>
      </c>
      <c r="B1" s="57" t="s">
        <v>77</v>
      </c>
      <c r="C1" s="57" t="s">
        <v>78</v>
      </c>
      <c r="D1" s="57" t="s">
        <v>114</v>
      </c>
      <c r="E1" s="57" t="s">
        <v>79</v>
      </c>
      <c r="F1" s="57" t="s">
        <v>149</v>
      </c>
      <c r="G1" s="57" t="s">
        <v>80</v>
      </c>
    </row>
    <row r="2" spans="1:7" x14ac:dyDescent="0.35">
      <c r="B2" t="str">
        <f>'Project Information'!C3</f>
        <v>TBD</v>
      </c>
      <c r="C2" t="str">
        <f>'Project Information'!C4</f>
        <v>TBD</v>
      </c>
      <c r="D2">
        <f>'Project Information'!C22</f>
        <v>0</v>
      </c>
      <c r="E2">
        <f>'Project Information'!C21</f>
        <v>0</v>
      </c>
      <c r="F2">
        <f>'Project Information'!C24</f>
        <v>0</v>
      </c>
      <c r="G2">
        <f>'Project Information'!C23</f>
        <v>0</v>
      </c>
    </row>
    <row r="4" spans="1:7" s="59" customFormat="1" ht="15" thickBot="1" x14ac:dyDescent="0.4"/>
    <row r="5" spans="1:7" x14ac:dyDescent="0.35">
      <c r="A5" s="1" t="s">
        <v>110</v>
      </c>
      <c r="B5" s="1" t="s">
        <v>81</v>
      </c>
      <c r="C5" s="1" t="s">
        <v>82</v>
      </c>
      <c r="D5" s="1" t="s">
        <v>83</v>
      </c>
      <c r="E5" s="1" t="s">
        <v>84</v>
      </c>
    </row>
    <row r="6" spans="1:7" x14ac:dyDescent="0.35">
      <c r="B6">
        <f>(D2/1000)*0.107</f>
        <v>0</v>
      </c>
      <c r="C6">
        <f>(E2/1000)*0.107</f>
        <v>0</v>
      </c>
      <c r="D6">
        <f>IF('Project Information'!C20="YES", B6,B6-C6)</f>
        <v>0</v>
      </c>
      <c r="E6" s="64">
        <f>D6*408362</f>
        <v>0</v>
      </c>
      <c r="F6" s="3"/>
    </row>
    <row r="7" spans="1:7" x14ac:dyDescent="0.35">
      <c r="E7" s="3" t="s">
        <v>113</v>
      </c>
      <c r="F7" s="3"/>
    </row>
    <row r="8" spans="1:7" s="59" customFormat="1" ht="15" thickBot="1" x14ac:dyDescent="0.4"/>
    <row r="9" spans="1:7" x14ac:dyDescent="0.35">
      <c r="A9" s="1" t="s">
        <v>105</v>
      </c>
      <c r="B9" s="1" t="s">
        <v>106</v>
      </c>
      <c r="C9" s="1" t="s">
        <v>107</v>
      </c>
      <c r="D9" s="1" t="s">
        <v>108</v>
      </c>
      <c r="E9" s="1" t="s">
        <v>109</v>
      </c>
      <c r="F9" s="1" t="s">
        <v>140</v>
      </c>
      <c r="G9" s="1"/>
    </row>
    <row r="10" spans="1:7" x14ac:dyDescent="0.35">
      <c r="B10">
        <f>IF(AND(1&lt;D2,D2&lt; 1200),D2, 1200)</f>
        <v>1200</v>
      </c>
      <c r="C10">
        <f>IF(C11&gt;900, 900, C11)</f>
        <v>0</v>
      </c>
      <c r="D10">
        <f>IF(D11&gt;1400, 1400, D11)</f>
        <v>0</v>
      </c>
      <c r="E10">
        <f>IF(D2&gt;3500, (D2-3500), 0)</f>
        <v>0</v>
      </c>
    </row>
    <row r="11" spans="1:7" x14ac:dyDescent="0.35">
      <c r="C11" s="58">
        <f>IF(D2&gt;1200, (D2-1200), 0)</f>
        <v>0</v>
      </c>
      <c r="D11" s="58">
        <f>IF(D2&gt;2100, (D2-2100), 0)</f>
        <v>0</v>
      </c>
    </row>
    <row r="12" spans="1:7" s="38" customFormat="1" x14ac:dyDescent="0.35">
      <c r="A12"/>
      <c r="B12" s="38">
        <f>B10*'List Data'!A21</f>
        <v>7.6799999999999993E-2</v>
      </c>
      <c r="C12" s="38">
        <f>C10*'List Data'!A22</f>
        <v>0</v>
      </c>
      <c r="D12" s="38">
        <f>D10*'List Data'!A23</f>
        <v>0</v>
      </c>
      <c r="E12" s="38">
        <f>E10*'List Data'!A24</f>
        <v>0</v>
      </c>
      <c r="F12" s="38">
        <f>IF(D2=0,0,(B12+C12+D12+E12))</f>
        <v>0</v>
      </c>
    </row>
    <row r="13" spans="1:7" x14ac:dyDescent="0.35">
      <c r="B13">
        <f>IF(AND(1&lt;E2, E2&lt;1200), E2, 1200)</f>
        <v>1200</v>
      </c>
      <c r="C13">
        <f>IF(C14&gt;900, 900, C14)</f>
        <v>0</v>
      </c>
      <c r="D13">
        <f>IF(D14&gt;1400, 1400, D14)</f>
        <v>0</v>
      </c>
      <c r="E13">
        <f>IF(E2&gt;3500, (E2-3500), 0)</f>
        <v>0</v>
      </c>
      <c r="G13" s="1" t="s">
        <v>141</v>
      </c>
    </row>
    <row r="14" spans="1:7" x14ac:dyDescent="0.35">
      <c r="C14" s="58">
        <f>IF(E2&gt;1200, (E2-1200), 0)</f>
        <v>0</v>
      </c>
      <c r="D14" s="58">
        <f>IF(E2&gt;2100, (E2-2100), 0)</f>
        <v>0</v>
      </c>
    </row>
    <row r="15" spans="1:7" s="38" customFormat="1" x14ac:dyDescent="0.35">
      <c r="A15"/>
      <c r="B15" s="38">
        <f>B13*'List Data'!A21</f>
        <v>7.6799999999999993E-2</v>
      </c>
      <c r="C15" s="38">
        <f>C13*'List Data'!A22</f>
        <v>0</v>
      </c>
      <c r="D15" s="38">
        <f>D13*'List Data'!A23</f>
        <v>0</v>
      </c>
      <c r="E15" s="38">
        <f>E13*'List Data'!A24</f>
        <v>0</v>
      </c>
      <c r="G15" s="38">
        <f>IF(E2=0, 0,(B15+C15+D15+E15))</f>
        <v>0</v>
      </c>
    </row>
    <row r="16" spans="1:7" x14ac:dyDescent="0.35">
      <c r="B16" s="1" t="s">
        <v>142</v>
      </c>
      <c r="C16" s="1" t="s">
        <v>143</v>
      </c>
      <c r="D16" s="1" t="s">
        <v>84</v>
      </c>
    </row>
    <row r="17" spans="1:4" x14ac:dyDescent="0.35">
      <c r="B17">
        <f>F12-G15</f>
        <v>0</v>
      </c>
      <c r="C17">
        <f>B17*896</f>
        <v>0</v>
      </c>
      <c r="D17" s="65" t="e">
        <f>0.33*(C17*'Project Information'!C27)</f>
        <v>#DIV/0!</v>
      </c>
    </row>
    <row r="18" spans="1:4" s="59" customFormat="1" ht="15" thickBot="1" x14ac:dyDescent="0.4"/>
    <row r="19" spans="1:4" x14ac:dyDescent="0.35">
      <c r="A19" s="1" t="s">
        <v>145</v>
      </c>
      <c r="B19" s="1" t="s">
        <v>146</v>
      </c>
      <c r="C19" s="1" t="s">
        <v>147</v>
      </c>
      <c r="D19" s="1" t="s">
        <v>148</v>
      </c>
    </row>
    <row r="20" spans="1:4" x14ac:dyDescent="0.35">
      <c r="B20" s="63">
        <f>(D2-E2)*'List Data'!B36</f>
        <v>0</v>
      </c>
      <c r="C20" s="63">
        <f>(F2-G2)*'List Data'!B37</f>
        <v>0</v>
      </c>
      <c r="D20" s="64">
        <f>C20+B20</f>
        <v>0</v>
      </c>
    </row>
    <row r="21" spans="1:4" s="59" customFormat="1" ht="15" thickBot="1" x14ac:dyDescent="0.4"/>
    <row r="22" spans="1:4" x14ac:dyDescent="0.35">
      <c r="A22" s="1" t="s">
        <v>115</v>
      </c>
      <c r="B22" s="1" t="s">
        <v>146</v>
      </c>
      <c r="C22" s="1" t="s">
        <v>147</v>
      </c>
      <c r="D22" s="1" t="s">
        <v>150</v>
      </c>
    </row>
    <row r="23" spans="1:4" x14ac:dyDescent="0.35">
      <c r="B23" s="63">
        <f>(D2-E2)*'List Data'!B32</f>
        <v>0</v>
      </c>
      <c r="C23" s="63">
        <f>(F2-G2)*'List Data'!B33</f>
        <v>0</v>
      </c>
      <c r="D23" s="64">
        <f>C23+B23</f>
        <v>0</v>
      </c>
    </row>
  </sheetData>
  <sheetProtection algorithmName="SHA-512" hashValue="yjNRusQgToXSOD1yQT9ztnYedg5FdauSiwGbdO8dD1u1jwyFzQjluHJeonvI6JKHMFFa7GPgH2rf+ET1fWCGrQ==" saltValue="MPGMIqm1WoCJnOKinif+m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 Information</vt:lpstr>
      <vt:lpstr>Fee Summary</vt:lpstr>
      <vt:lpstr>Fee Data</vt:lpstr>
      <vt:lpstr>List Data</vt:lpstr>
      <vt:lpstr>Planning Impact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Fallon</dc:creator>
  <cp:lastModifiedBy>Sydney Fallon</cp:lastModifiedBy>
  <dcterms:created xsi:type="dcterms:W3CDTF">2024-08-25T18:16:41Z</dcterms:created>
  <dcterms:modified xsi:type="dcterms:W3CDTF">2024-09-19T16:23:23Z</dcterms:modified>
</cp:coreProperties>
</file>