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M:\city\water\26 UCP and ECU Stuff\Current ECU Calculators\"/>
    </mc:Choice>
  </mc:AlternateContent>
  <xr:revisionPtr revIDLastSave="0" documentId="13_ncr:1_{E125BC76-272E-4488-9480-6FF3E57FEF3D}" xr6:coauthVersionLast="47" xr6:coauthVersionMax="47" xr10:uidLastSave="{00000000-0000-0000-0000-000000000000}"/>
  <bookViews>
    <workbookView xWindow="-38510" yWindow="-4270" windowWidth="38620" windowHeight="21100" xr2:uid="{1BA81FC9-2CEA-4DF9-AB7D-2E0EAE76FC8A}"/>
  </bookViews>
  <sheets>
    <sheet name="ECU Calculator" sheetId="1" r:id="rId1"/>
    <sheet name="Outdoor Water Budget Worksheet" sheetId="12" r:id="rId2"/>
    <sheet name="Existing ECU Count" sheetId="7" state="hidden" r:id="rId3"/>
    <sheet name="Tap Fee Calculator" sheetId="9" state="hidden" r:id="rId4"/>
  </sheets>
  <definedNames>
    <definedName name="_xlnm.Print_Area" localSheetId="0">'ECU Calculator'!$A$1:$S$94</definedName>
    <definedName name="_xlnm.Print_Area" localSheetId="1">'Outdoor Water Budget Worksheet'!$A$1:$I$66</definedName>
    <definedName name="_xlnm.Print_Area" localSheetId="3">'Tap Fee Calculator'!$A$1:$M$15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91" i="1" l="1"/>
  <c r="I82" i="1" l="1"/>
  <c r="E82" i="1"/>
  <c r="B89" i="1"/>
  <c r="B86" i="1" l="1"/>
  <c r="B87" i="1" s="1"/>
  <c r="G64" i="1" l="1"/>
  <c r="G59" i="12" l="1"/>
  <c r="F43" i="12" a="1"/>
  <c r="F43" i="12" s="1"/>
  <c r="F80" i="1" l="1"/>
  <c r="F79" i="1"/>
  <c r="H58" i="12"/>
  <c r="G62" i="12"/>
  <c r="G61" i="12"/>
  <c r="F76" i="1" s="1"/>
  <c r="G60" i="12"/>
  <c r="F77" i="1" s="1"/>
  <c r="F75" i="1"/>
  <c r="G58" i="12"/>
  <c r="H57" i="12"/>
  <c r="H56" i="12"/>
  <c r="F54" i="12" a="1"/>
  <c r="F54" i="12" s="1"/>
  <c r="F53" i="12" a="1"/>
  <c r="F53" i="12" s="1"/>
  <c r="F52" i="12" a="1"/>
  <c r="F52" i="12" s="1"/>
  <c r="F51" i="12" a="1"/>
  <c r="F51" i="12" s="1"/>
  <c r="F50" i="12" a="1"/>
  <c r="F50" i="12" s="1"/>
  <c r="F49" i="12" a="1"/>
  <c r="F49" i="12" s="1"/>
  <c r="F48" i="12" a="1"/>
  <c r="F48" i="12" s="1"/>
  <c r="F47" i="12" a="1"/>
  <c r="F47" i="12" s="1"/>
  <c r="F46" i="12" a="1"/>
  <c r="F46" i="12" s="1"/>
  <c r="F45" i="12" a="1"/>
  <c r="F45" i="12" s="1"/>
  <c r="F44" i="12" a="1"/>
  <c r="F44" i="12" s="1"/>
  <c r="F42" i="12" a="1"/>
  <c r="F42" i="12" s="1"/>
  <c r="D54" i="12" a="1"/>
  <c r="D54" i="12" s="1"/>
  <c r="H54" i="12" s="1"/>
  <c r="D53" i="12" a="1"/>
  <c r="D53" i="12" s="1"/>
  <c r="H53" i="12" s="1"/>
  <c r="D52" i="12" a="1"/>
  <c r="D52" i="12" s="1"/>
  <c r="H52" i="12" s="1"/>
  <c r="D51" i="12" a="1"/>
  <c r="D51" i="12" s="1"/>
  <c r="H51" i="12" s="1"/>
  <c r="D50" i="12" a="1"/>
  <c r="D50" i="12" s="1"/>
  <c r="H50" i="12" s="1"/>
  <c r="D49" i="12" a="1"/>
  <c r="D49" i="12" s="1"/>
  <c r="H49" i="12" s="1"/>
  <c r="D48" i="12" a="1"/>
  <c r="D48" i="12" s="1"/>
  <c r="H48" i="12" s="1"/>
  <c r="D47" i="12" a="1"/>
  <c r="D47" i="12" s="1"/>
  <c r="H47" i="12" s="1"/>
  <c r="D46" i="12" a="1"/>
  <c r="D46" i="12" s="1"/>
  <c r="H46" i="12" s="1"/>
  <c r="D45" i="12" a="1"/>
  <c r="D45" i="12" s="1"/>
  <c r="D44" i="12" a="1"/>
  <c r="D44" i="12" s="1"/>
  <c r="D43" i="12" a="1"/>
  <c r="D43" i="12" s="1"/>
  <c r="H43" i="12" s="1"/>
  <c r="D42" i="12" a="1"/>
  <c r="D42" i="12" s="1"/>
  <c r="E80" i="1"/>
  <c r="I78" i="1"/>
  <c r="I77" i="1"/>
  <c r="I76" i="1"/>
  <c r="I75" i="1"/>
  <c r="I69" i="1"/>
  <c r="I68" i="1"/>
  <c r="I64" i="1"/>
  <c r="I63" i="1"/>
  <c r="I61" i="1"/>
  <c r="I60" i="1"/>
  <c r="G68" i="1"/>
  <c r="G69" i="1"/>
  <c r="I48" i="1"/>
  <c r="I47" i="1"/>
  <c r="I46" i="1"/>
  <c r="I43" i="1"/>
  <c r="I42" i="1"/>
  <c r="G63" i="1"/>
  <c r="G61" i="1"/>
  <c r="G60" i="1"/>
  <c r="G48" i="1"/>
  <c r="G47" i="1"/>
  <c r="G46" i="1"/>
  <c r="G43" i="1"/>
  <c r="G42" i="1"/>
  <c r="E79" i="1"/>
  <c r="E78" i="1"/>
  <c r="E77" i="1"/>
  <c r="E76" i="1"/>
  <c r="E75" i="1"/>
  <c r="E64" i="1"/>
  <c r="E63" i="1"/>
  <c r="H45" i="12" l="1"/>
  <c r="H44" i="12"/>
  <c r="H42" i="12"/>
  <c r="H60" i="12" s="1"/>
  <c r="I70" i="1"/>
  <c r="I67" i="1"/>
  <c r="I66" i="1"/>
  <c r="I65" i="1"/>
  <c r="I62" i="1"/>
  <c r="I74" i="1"/>
  <c r="I73" i="1"/>
  <c r="I72" i="1"/>
  <c r="I26" i="1"/>
  <c r="I25" i="1"/>
  <c r="I59" i="1"/>
  <c r="I58" i="1"/>
  <c r="I57" i="1"/>
  <c r="I56" i="1"/>
  <c r="I55" i="1"/>
  <c r="I54" i="1"/>
  <c r="I53" i="1"/>
  <c r="I52" i="1"/>
  <c r="I51" i="1"/>
  <c r="I50" i="1"/>
  <c r="I49" i="1"/>
  <c r="I45" i="1"/>
  <c r="I44" i="1"/>
  <c r="G70" i="1"/>
  <c r="G67" i="1"/>
  <c r="G66" i="1"/>
  <c r="G65" i="1"/>
  <c r="G74" i="1"/>
  <c r="G73" i="1"/>
  <c r="G72" i="1"/>
  <c r="G26" i="1"/>
  <c r="G25" i="1"/>
  <c r="G59" i="1"/>
  <c r="G58" i="1"/>
  <c r="G57" i="1"/>
  <c r="G56" i="1"/>
  <c r="G55" i="1"/>
  <c r="G54" i="1"/>
  <c r="G53" i="1"/>
  <c r="G52" i="1"/>
  <c r="G51" i="1"/>
  <c r="G49" i="1"/>
  <c r="G50" i="1"/>
  <c r="E42" i="1"/>
  <c r="G30" i="1"/>
  <c r="G29" i="1"/>
  <c r="G28" i="1"/>
  <c r="G27" i="1"/>
  <c r="G24" i="1"/>
  <c r="E69" i="1"/>
  <c r="E68" i="1"/>
  <c r="E61" i="1"/>
  <c r="E60" i="1"/>
  <c r="E50" i="1"/>
  <c r="E49" i="1"/>
  <c r="E48" i="1"/>
  <c r="E47" i="1"/>
  <c r="E46" i="1"/>
  <c r="E43" i="1"/>
  <c r="H61" i="12" l="1"/>
  <c r="H62" i="12"/>
  <c r="G64" i="12" s="1"/>
  <c r="B65" i="12" s="1" a="1"/>
  <c r="B65" i="12" s="1"/>
  <c r="H59" i="12"/>
  <c r="E25" i="1"/>
  <c r="E59" i="1"/>
  <c r="E58" i="1"/>
  <c r="E55" i="1"/>
  <c r="G80" i="1" l="1"/>
  <c r="G79" i="1"/>
  <c r="E62" i="1" l="1"/>
  <c r="I22" i="1"/>
  <c r="G22" i="1" l="1"/>
  <c r="G23" i="1"/>
  <c r="G31" i="1"/>
  <c r="G32" i="1"/>
  <c r="G33" i="1"/>
  <c r="G34" i="1"/>
  <c r="G35" i="1"/>
  <c r="G36" i="1"/>
  <c r="G37" i="1"/>
  <c r="G38" i="1"/>
  <c r="G39" i="1"/>
  <c r="G40" i="1"/>
  <c r="G41" i="1"/>
  <c r="G44" i="1"/>
  <c r="G45" i="1"/>
  <c r="E51" i="1"/>
  <c r="E52" i="1"/>
  <c r="E53" i="1"/>
  <c r="E54" i="1"/>
  <c r="E56" i="1"/>
  <c r="E57" i="1"/>
  <c r="E26" i="1"/>
  <c r="E72" i="1"/>
  <c r="E73" i="1"/>
  <c r="E74" i="1"/>
  <c r="E65" i="1"/>
  <c r="E66" i="1"/>
  <c r="E67" i="1"/>
  <c r="E70" i="1"/>
  <c r="G75" i="1" l="1"/>
  <c r="G76" i="1"/>
  <c r="G77" i="1"/>
  <c r="G81" i="1" l="1"/>
  <c r="B92" i="1" s="1"/>
  <c r="G82" i="1"/>
  <c r="B90" i="1" s="1"/>
  <c r="Q11" i="1"/>
  <c r="Q12" i="1"/>
  <c r="Q10" i="1"/>
  <c r="E23" i="1"/>
  <c r="E24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4" i="1"/>
  <c r="E45" i="1"/>
  <c r="E22" i="1"/>
  <c r="I24" i="1"/>
  <c r="E81" i="1" l="1"/>
  <c r="I80" i="1" l="1"/>
  <c r="I79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3" i="1"/>
  <c r="F9" i="9" l="1"/>
  <c r="E11" i="9" l="1"/>
  <c r="E12" i="9"/>
  <c r="E30" i="7" l="1"/>
  <c r="E29" i="7"/>
  <c r="E28" i="7"/>
  <c r="E27" i="7"/>
  <c r="E26" i="7"/>
  <c r="E25" i="7"/>
  <c r="E24" i="7"/>
  <c r="E23" i="7"/>
  <c r="E22" i="7"/>
  <c r="E21" i="7"/>
  <c r="E20" i="7"/>
  <c r="E19" i="7"/>
  <c r="E18" i="7"/>
  <c r="E17" i="7"/>
  <c r="E16" i="7"/>
  <c r="E15" i="7"/>
  <c r="E14" i="7"/>
  <c r="E13" i="7"/>
  <c r="E12" i="7"/>
  <c r="E11" i="7"/>
  <c r="E10" i="7"/>
  <c r="E9" i="7"/>
  <c r="E8" i="7"/>
  <c r="E7" i="7"/>
  <c r="E6" i="7"/>
  <c r="E5" i="7"/>
  <c r="E4" i="7"/>
  <c r="E32" i="7" l="1"/>
  <c r="H9" i="9" l="1"/>
  <c r="H12" i="9" l="1"/>
  <c r="J9" i="9"/>
  <c r="J12" i="9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<sst xmlns="http://schemas.openxmlformats.org/spreadsheetml/2006/main" count="365" uniqueCount="318">
  <si>
    <t>Updated Municipal Code Sections:</t>
  </si>
  <si>
    <t xml:space="preserve">Utility Investment Charge "Tap Fees" </t>
  </si>
  <si>
    <t>Billing Areas</t>
  </si>
  <si>
    <t>2018 Fees</t>
  </si>
  <si>
    <t>2019 Fees</t>
  </si>
  <si>
    <t>2020 Fees</t>
  </si>
  <si>
    <t>2021 Fees</t>
  </si>
  <si>
    <t>2022 Fees</t>
  </si>
  <si>
    <t>2023 Fees</t>
  </si>
  <si>
    <t>2024 Fees</t>
  </si>
  <si>
    <t>Project Address:</t>
  </si>
  <si>
    <t xml:space="preserve">Owner Name: </t>
  </si>
  <si>
    <t xml:space="preserve">Reviewer: </t>
  </si>
  <si>
    <t>Applicant Name:</t>
  </si>
  <si>
    <t xml:space="preserve">Owner Address: </t>
  </si>
  <si>
    <t>Final Inspection Date:</t>
  </si>
  <si>
    <t xml:space="preserve">Applicant Email: </t>
  </si>
  <si>
    <t xml:space="preserve">Applicant Phone: </t>
  </si>
  <si>
    <t xml:space="preserve">Existing Domestic Tap Size: </t>
  </si>
  <si>
    <t>Type of Work</t>
  </si>
  <si>
    <t xml:space="preserve">Existing Fire Suppression Tap Size: </t>
  </si>
  <si>
    <t>Completed Date:</t>
  </si>
  <si>
    <t xml:space="preserve">Building Permit No. </t>
  </si>
  <si>
    <t xml:space="preserve">Proposed Fire Suppression Tap Size: </t>
  </si>
  <si>
    <t>Calc Version Date:</t>
  </si>
  <si>
    <t>Current project proposes "like for like" replacement only?</t>
  </si>
  <si>
    <t>Keep existing tap location or replace with new?</t>
  </si>
  <si>
    <t xml:space="preserve">Additional sources of water on the property--e.g., ditch, well, etc. </t>
  </si>
  <si>
    <t xml:space="preserve">Account Number (located on water bill): </t>
  </si>
  <si>
    <t>Pitkin County Specific Utility Connection Fees</t>
  </si>
  <si>
    <t>Definitions</t>
  </si>
  <si>
    <t>ECU Rate per Water Fixture</t>
  </si>
  <si>
    <t xml:space="preserve">Existing Fixture Count </t>
  </si>
  <si>
    <t>Total Existing ECUs</t>
  </si>
  <si>
    <t>Proposed Fixture Count (include all existing fixtures)</t>
  </si>
  <si>
    <t>Total Proposed ECUs</t>
  </si>
  <si>
    <t>Final Fixture Count</t>
  </si>
  <si>
    <t>Total Final ECU</t>
  </si>
  <si>
    <t>Payment In Lieu of Water Rights / ECU</t>
  </si>
  <si>
    <t>-</t>
  </si>
  <si>
    <t>Bedrooms</t>
  </si>
  <si>
    <t>A room with a closet</t>
  </si>
  <si>
    <t>Well Sys Development / ECU</t>
  </si>
  <si>
    <t>1st Full Bathroom/Living Unit</t>
  </si>
  <si>
    <t>Includes tub/shower, toilet, lav</t>
  </si>
  <si>
    <t>Toilets/Urinals</t>
  </si>
  <si>
    <t>Type of work</t>
  </si>
  <si>
    <t>Oversized Tub</t>
  </si>
  <si>
    <t>Interior Remodel</t>
  </si>
  <si>
    <t>Whirlpool Upgrade</t>
  </si>
  <si>
    <t>fire suppression drop down</t>
  </si>
  <si>
    <t>Steam Room</t>
  </si>
  <si>
    <t xml:space="preserve">1 1/2" </t>
  </si>
  <si>
    <t>2"</t>
  </si>
  <si>
    <t>Kitchen</t>
  </si>
  <si>
    <t>Cook surface, refrigerator &amp; sink</t>
  </si>
  <si>
    <t xml:space="preserve">4" </t>
  </si>
  <si>
    <t>Dishwasher</t>
  </si>
  <si>
    <t xml:space="preserve">6" </t>
  </si>
  <si>
    <t>Disposal</t>
  </si>
  <si>
    <t xml:space="preserve">8" </t>
  </si>
  <si>
    <t>NA</t>
  </si>
  <si>
    <t>Bar/Hand Sink</t>
  </si>
  <si>
    <t xml:space="preserve">Kitchen Efficiency/Kitchenette </t>
  </si>
  <si>
    <t>Does not include a cook surface</t>
  </si>
  <si>
    <t>Stand Alone Ice Machine</t>
  </si>
  <si>
    <t>Washer</t>
  </si>
  <si>
    <t>Utility Sink</t>
  </si>
  <si>
    <t>1st Hose Bib</t>
  </si>
  <si>
    <t>2nd Hose Bib</t>
  </si>
  <si>
    <t>Additional Hose Bib</t>
  </si>
  <si>
    <t>Water Softener</t>
  </si>
  <si>
    <t>Line Size</t>
  </si>
  <si>
    <t>Water Feature (Pre-existing Only)</t>
  </si>
  <si>
    <t>NO NEW WF ALLOWED</t>
  </si>
  <si>
    <t>3/4"</t>
  </si>
  <si>
    <t>1"</t>
  </si>
  <si>
    <t>1 1/2"</t>
  </si>
  <si>
    <t>Total Existing ECU</t>
  </si>
  <si>
    <t>Proposed ECUs</t>
  </si>
  <si>
    <t>4"</t>
  </si>
  <si>
    <t>6"</t>
  </si>
  <si>
    <t xml:space="preserve">INSPECTOR NOTES: </t>
  </si>
  <si>
    <t>8"</t>
  </si>
  <si>
    <t>Billing Area (Second digit of Account Number)</t>
  </si>
  <si>
    <t>Utility Investment Charge "Tap Fees" (per ECU)</t>
  </si>
  <si>
    <t>Munis Account Record of ECUS</t>
  </si>
  <si>
    <t>Tap Fee Due</t>
  </si>
  <si>
    <t xml:space="preserve">Substantial or Insubstantial Remodel </t>
  </si>
  <si>
    <t>Net ECUs for REVIEW UCP</t>
  </si>
  <si>
    <t xml:space="preserve">City of Aspen Water Efficient Landscaping Ordinance </t>
  </si>
  <si>
    <t>OUTDOOR WATER BUDGET WORKSHEET</t>
  </si>
  <si>
    <t>3. Project cannot exceed maximum applied water budget or the maximum residential ECU rating per Title 25.</t>
  </si>
  <si>
    <t xml:space="preserve">Address: </t>
  </si>
  <si>
    <t xml:space="preserve">Contact Info: </t>
  </si>
  <si>
    <t>Irrigation Water Budget = [(ETo x Plant Factor) - Re] x Irrigated Area / Irrigation Efficiency x 0.623</t>
  </si>
  <si>
    <t>Where:</t>
  </si>
  <si>
    <r>
      <rPr>
        <b/>
        <sz val="12"/>
        <color indexed="8"/>
        <rFont val="Calibri"/>
        <family val="2"/>
      </rPr>
      <t xml:space="preserve">Irrigated Area </t>
    </r>
    <r>
      <rPr>
        <sz val="12"/>
        <color indexed="8"/>
        <rFont val="Calibri"/>
        <family val="2"/>
      </rPr>
      <t>= Hydrozone Area in square feet</t>
    </r>
  </si>
  <si>
    <t>Water Use Category</t>
  </si>
  <si>
    <t>Code</t>
  </si>
  <si>
    <t>Plant Factor</t>
  </si>
  <si>
    <t>Parameter</t>
  </si>
  <si>
    <t>inches/season</t>
  </si>
  <si>
    <t>gal/sf/season</t>
  </si>
  <si>
    <t>Reference Evapotranspiration</t>
  </si>
  <si>
    <t>Swimming Pool/Hot Tub</t>
  </si>
  <si>
    <t>VH</t>
  </si>
  <si>
    <t>Effective Precipitation</t>
  </si>
  <si>
    <t>Cool Season Turf</t>
  </si>
  <si>
    <t>High</t>
  </si>
  <si>
    <t>H</t>
  </si>
  <si>
    <t>Irrigation Category</t>
  </si>
  <si>
    <t>Irrigation Efficiency</t>
  </si>
  <si>
    <t>Medium</t>
  </si>
  <si>
    <t>M</t>
  </si>
  <si>
    <t>Low</t>
  </si>
  <si>
    <t>L</t>
  </si>
  <si>
    <t>Overhead</t>
  </si>
  <si>
    <t>Very Low</t>
  </si>
  <si>
    <t>VL</t>
  </si>
  <si>
    <t>Drip</t>
  </si>
  <si>
    <t>Bubbler</t>
  </si>
  <si>
    <t>HYDROZONE WATER BUDGET CALCULATION</t>
  </si>
  <si>
    <t>Maximum Applied Water Budget (gal/sf/season)</t>
  </si>
  <si>
    <t>Hot Tub Volume (gallons)</t>
  </si>
  <si>
    <t xml:space="preserve">Hydrozone </t>
  </si>
  <si>
    <t>Water Use Code</t>
  </si>
  <si>
    <t>Hydrozone Area (sf)</t>
  </si>
  <si>
    <t>Plant Water Need (gal/season)</t>
  </si>
  <si>
    <t>Example</t>
  </si>
  <si>
    <t>Other Outdoor Features</t>
  </si>
  <si>
    <t>Hot Tub</t>
  </si>
  <si>
    <t>Swimming Pool</t>
  </si>
  <si>
    <t>Sub-total, Hot Tub/Swimming Pool</t>
  </si>
  <si>
    <t>Sub-total, Overhead</t>
  </si>
  <si>
    <t>Sub-total, Drip</t>
  </si>
  <si>
    <t>Sub-total, Bubbler</t>
  </si>
  <si>
    <t>TOTAL</t>
  </si>
  <si>
    <t>AVERAGE IRRIGATION WATER NEED - ALL ZONES (gallons/sf/season) =</t>
  </si>
  <si>
    <r>
      <t>ECU Rat</t>
    </r>
    <r>
      <rPr>
        <b/>
        <sz val="14"/>
        <rFont val="Calibri"/>
        <family val="2"/>
        <scheme val="minor"/>
      </rPr>
      <t>e</t>
    </r>
  </si>
  <si>
    <t>Existing Fixture Count</t>
  </si>
  <si>
    <t>2nd Full Bathroom/Structure</t>
  </si>
  <si>
    <t>Lavs</t>
  </si>
  <si>
    <t>Tub only/Tub &amp; shower</t>
  </si>
  <si>
    <t>Shower Stall</t>
  </si>
  <si>
    <t>Steam shower Upgrade</t>
  </si>
  <si>
    <t>Additional Sink/Pot Filler</t>
  </si>
  <si>
    <t>Drip Landscaping (# of emitters)</t>
  </si>
  <si>
    <t>0.001/Drip Emitter</t>
  </si>
  <si>
    <t>Sprinkler System Landscaping (sf)</t>
  </si>
  <si>
    <t xml:space="preserve">Spray system - 0.01 ECU/100sf </t>
  </si>
  <si>
    <t>Hot tub/jacuzzi (with jets)</t>
  </si>
  <si>
    <t>per 100 gal</t>
  </si>
  <si>
    <t>Pool (gal) (year round use)</t>
  </si>
  <si>
    <t>per 1,000 gal</t>
  </si>
  <si>
    <t>Total ECUs</t>
  </si>
  <si>
    <t>ASPEN WATER DEPARTMENT</t>
  </si>
  <si>
    <t>130 S Galena Street</t>
  </si>
  <si>
    <t>Aspen, CO 81611</t>
  </si>
  <si>
    <t xml:space="preserve">COMPUTATION OF UTILITY INVESTMENT CHARGES: </t>
  </si>
  <si>
    <t>Existing ECUs</t>
  </si>
  <si>
    <t>Final ECUs</t>
  </si>
  <si>
    <t>Service Area</t>
  </si>
  <si>
    <t>Service Area Fee</t>
  </si>
  <si>
    <t xml:space="preserve">Review Utility Investment Charge = </t>
  </si>
  <si>
    <t xml:space="preserve">Final Utility Investment Charge = </t>
  </si>
  <si>
    <t>4. Hot tubs and swimming pools are included in the calculation of the average Maximum Applied Water Budget.</t>
  </si>
  <si>
    <r>
      <rPr>
        <b/>
        <sz val="12"/>
        <color indexed="8"/>
        <rFont val="Calibri"/>
        <family val="2"/>
      </rPr>
      <t>ETo</t>
    </r>
    <r>
      <rPr>
        <sz val="12"/>
        <color indexed="8"/>
        <rFont val="Calibri"/>
        <family val="2"/>
      </rPr>
      <t xml:space="preserve"> = Reference Evapotranspiration in inches/season (May - Oct.)</t>
    </r>
  </si>
  <si>
    <r>
      <rPr>
        <b/>
        <sz val="12"/>
        <color indexed="8"/>
        <rFont val="Calibri"/>
        <family val="2"/>
      </rPr>
      <t>Re</t>
    </r>
    <r>
      <rPr>
        <sz val="12"/>
        <color indexed="8"/>
        <rFont val="Calibri"/>
        <family val="2"/>
      </rPr>
      <t xml:space="preserve"> = Effective Precipitation in inches/season (May - Oct.)</t>
    </r>
  </si>
  <si>
    <t>Zone 1 (valve #s)</t>
  </si>
  <si>
    <t>Zone 2 (valve #s)</t>
  </si>
  <si>
    <t>Zone 3 (valve #s)</t>
  </si>
  <si>
    <t>Zone 4 (valve #s)</t>
  </si>
  <si>
    <t>Zone 5 (valve #s)</t>
  </si>
  <si>
    <t>Zone 6 (valve #s)</t>
  </si>
  <si>
    <t>Zone 7 (valve #s)</t>
  </si>
  <si>
    <t>Zone 8 (valve #s)</t>
  </si>
  <si>
    <t>Zone 9 (valve #s)</t>
  </si>
  <si>
    <t>Zone 10 (valve #s)</t>
  </si>
  <si>
    <t>Zone 12 (valve #s)</t>
  </si>
  <si>
    <t>Zone 11 (valve #s)</t>
  </si>
  <si>
    <t>Zone 13 (valve #s)</t>
  </si>
  <si>
    <t>Pool (Enter Total Gallons)</t>
  </si>
  <si>
    <t>Utility Investment Charge Calculation Table (City Use Only)</t>
  </si>
  <si>
    <t>Portion Applied to Water Budget (gal/season)</t>
  </si>
  <si>
    <t xml:space="preserve">Sec. 25.08.090.(c):  No water features will be allowed on Aspen Water utility accounts effective January 1, 2023. </t>
  </si>
  <si>
    <t>Toilet/Urinals/Bidet</t>
  </si>
  <si>
    <t>Lavatory Sink Compartment</t>
  </si>
  <si>
    <t>Bathtubs, Shower, Combo</t>
  </si>
  <si>
    <t>Scullery Sink Compartment</t>
  </si>
  <si>
    <t xml:space="preserve">Kitchen Sink Compartment </t>
  </si>
  <si>
    <t>Beverage Station</t>
  </si>
  <si>
    <t>Steamer Oven</t>
  </si>
  <si>
    <t>Garbage Disposal</t>
  </si>
  <si>
    <t>Glass Washer</t>
  </si>
  <si>
    <t>1/8" Supply Line Ice Machine</t>
  </si>
  <si>
    <t>Mop/Service Sink Compartment</t>
  </si>
  <si>
    <t>Noncontinuous Drinking Fountain</t>
  </si>
  <si>
    <t>Restaurant Seat</t>
  </si>
  <si>
    <t xml:space="preserve">Cafeteria </t>
  </si>
  <si>
    <t>Hospital, Nursing Home, Sanitarium, Detention Center</t>
  </si>
  <si>
    <t>Car Wash</t>
  </si>
  <si>
    <t>Kitchen Efficiency/Kitchenette/Modest Kitchen</t>
  </si>
  <si>
    <t>Wet Sauna</t>
  </si>
  <si>
    <t>Humidifier</t>
  </si>
  <si>
    <t>Industrial Process or Waste Water</t>
  </si>
  <si>
    <t>Includes Soda System, Water Station, Coffee Urn &amp; Espresso Machine</t>
  </si>
  <si>
    <t>Household</t>
  </si>
  <si>
    <t>Dishwasher Drawer (Single Drawer)</t>
  </si>
  <si>
    <t>Commercial Grade</t>
  </si>
  <si>
    <t>Recycling Water Feature (Existing ONLY)</t>
  </si>
  <si>
    <t>Pool (Indoor)</t>
  </si>
  <si>
    <t>Drip Landscaping (Indoor)</t>
  </si>
  <si>
    <t>Sprinkler System Landscaping (Indoor)</t>
  </si>
  <si>
    <t>Overhead Spray Irrigation (Outdoor, Enter Total Square Feet)</t>
  </si>
  <si>
    <t>Bubbler Irrigation (Outdoor, Enter Total Square Feet)</t>
  </si>
  <si>
    <t>Drip Emitter Irrigation (Outdoor, Enter Total Square Feet)</t>
  </si>
  <si>
    <t>Per 1/8" Supply (Commercial)</t>
  </si>
  <si>
    <t>With Dormitory Style Bathrooms in Hallways</t>
  </si>
  <si>
    <t>Lodging Bedroom with No bath or Cooking Facilities</t>
  </si>
  <si>
    <t>Lodging Bedroom with No bath but Modest Cooking Facilities</t>
  </si>
  <si>
    <t>and Microwave and Under-The-Counter Icebox</t>
  </si>
  <si>
    <t>Lodging Bedroom with Full Bath and Modest Cooking Facilities</t>
  </si>
  <si>
    <t>Lodging Bedroom with Full Bath but No Cooking Facilities</t>
  </si>
  <si>
    <t>Lodging Bedroom with Full Bath and Wet Bar</t>
  </si>
  <si>
    <t>Kitchen with Full Cooking Facilities</t>
  </si>
  <si>
    <t>and Dormitory Style Bathrooms in Hallways</t>
  </si>
  <si>
    <t>Theaters, Auditoriums, Convention Halls, and Assembly Places</t>
  </si>
  <si>
    <t>Non Profit Recreational Facilities including School Gyms</t>
  </si>
  <si>
    <t>Warehouse or Industrial Space - Per 1,000 Sq. Ft.</t>
  </si>
  <si>
    <t>Gas Station, Each Service or Lubrication Bay</t>
  </si>
  <si>
    <t xml:space="preserve">Hot Tub/Jacuzzi (Indoor, with Jets) </t>
  </si>
  <si>
    <t>Commercial Recreational Facilities - per Customer</t>
  </si>
  <si>
    <t>Food Preparation Area with Sink, Appliance for the heating and cooking of food, including Stoves, Hood Fans, Microwaves, Convection Ovens, Cook Tops, or Hot Plates</t>
  </si>
  <si>
    <t>EXISTING ONLY - NOT ALLOWED STARTING IN 2023</t>
  </si>
  <si>
    <t>Retail Space - Enter Total Sq. Ft.</t>
  </si>
  <si>
    <t>Office Space - Enter Total Sq. Ft.</t>
  </si>
  <si>
    <t>Per Steam Room</t>
  </si>
  <si>
    <t>Per Wet Sauna</t>
  </si>
  <si>
    <t>Per Humidifier</t>
  </si>
  <si>
    <t>Includes Bar Sink and Hand Sink</t>
  </si>
  <si>
    <t>Water Fixture Description</t>
  </si>
  <si>
    <t>*** Definitions &amp; Entry Instructions ***</t>
  </si>
  <si>
    <t>Per Fountain</t>
  </si>
  <si>
    <r>
      <rPr>
        <sz val="16"/>
        <color theme="1"/>
        <rFont val="Calibri"/>
        <family val="2"/>
        <scheme val="minor"/>
      </rPr>
      <t>Per Seat, Includes Indoor and Outdoor Seating</t>
    </r>
    <r>
      <rPr>
        <b/>
        <sz val="16"/>
        <color theme="1"/>
        <rFont val="Calibri"/>
        <family val="2"/>
        <scheme val="minor"/>
      </rPr>
      <t xml:space="preserve"> (Enter Total Seats)</t>
    </r>
  </si>
  <si>
    <r>
      <rPr>
        <sz val="16"/>
        <color theme="1"/>
        <rFont val="Calibri"/>
        <family val="2"/>
        <scheme val="minor"/>
      </rPr>
      <t>Per 100 Sq. Ft.</t>
    </r>
    <r>
      <rPr>
        <b/>
        <sz val="16"/>
        <color theme="1"/>
        <rFont val="Calibri"/>
        <family val="2"/>
        <scheme val="minor"/>
      </rPr>
      <t xml:space="preserve"> (Enter Total Sq. Ft.)</t>
    </r>
  </si>
  <si>
    <r>
      <rPr>
        <sz val="16"/>
        <color theme="1"/>
        <rFont val="Calibri"/>
        <family val="2"/>
        <scheme val="minor"/>
      </rPr>
      <t>Per Maximum Capacity - Fire Code -</t>
    </r>
    <r>
      <rPr>
        <b/>
        <sz val="16"/>
        <color theme="1"/>
        <rFont val="Calibri"/>
        <family val="2"/>
        <scheme val="minor"/>
      </rPr>
      <t xml:space="preserve"> (Enter Total Customers)</t>
    </r>
  </si>
  <si>
    <r>
      <rPr>
        <sz val="16"/>
        <color theme="1"/>
        <rFont val="Calibri"/>
        <family val="2"/>
        <scheme val="minor"/>
      </rPr>
      <t xml:space="preserve">Per 1,000 Sq. Ft. </t>
    </r>
    <r>
      <rPr>
        <b/>
        <sz val="16"/>
        <color theme="1"/>
        <rFont val="Calibri"/>
        <family val="2"/>
        <scheme val="minor"/>
      </rPr>
      <t>(Enter Total Sq. Ft.)</t>
    </r>
  </si>
  <si>
    <r>
      <rPr>
        <sz val="16"/>
        <color theme="1"/>
        <rFont val="Calibri"/>
        <family val="2"/>
        <scheme val="minor"/>
      </rPr>
      <t>Year-Round Seats/Rate Per 10 Seats</t>
    </r>
    <r>
      <rPr>
        <b/>
        <sz val="16"/>
        <color theme="1"/>
        <rFont val="Calibri"/>
        <family val="2"/>
        <scheme val="minor"/>
      </rPr>
      <t xml:space="preserve"> (Enter Total Seats)</t>
    </r>
  </si>
  <si>
    <r>
      <rPr>
        <sz val="16"/>
        <color theme="1"/>
        <rFont val="Calibri"/>
        <family val="2"/>
        <scheme val="minor"/>
      </rPr>
      <t xml:space="preserve">Summer Use Seats Only/Rate Per 10 Seats </t>
    </r>
    <r>
      <rPr>
        <b/>
        <sz val="16"/>
        <color theme="1"/>
        <rFont val="Calibri"/>
        <family val="2"/>
        <scheme val="minor"/>
      </rPr>
      <t>(Enter Total Seats)</t>
    </r>
  </si>
  <si>
    <r>
      <rPr>
        <sz val="16"/>
        <color theme="1"/>
        <rFont val="Calibri"/>
        <family val="2"/>
        <scheme val="minor"/>
      </rPr>
      <t>Per Seat, First 25 Seats @ 0.08 Per Seat</t>
    </r>
    <r>
      <rPr>
        <b/>
        <sz val="16"/>
        <color theme="1"/>
        <rFont val="Calibri"/>
        <family val="2"/>
        <scheme val="minor"/>
      </rPr>
      <t xml:space="preserve"> (Enter Total Seats; Max 25 seats)</t>
    </r>
  </si>
  <si>
    <r>
      <rPr>
        <sz val="16"/>
        <color theme="1"/>
        <rFont val="Calibri"/>
        <family val="2"/>
        <scheme val="minor"/>
      </rPr>
      <t>Per Seat, After First 25 Seats @ 0.02 Per Seat</t>
    </r>
    <r>
      <rPr>
        <b/>
        <sz val="16"/>
        <color theme="1"/>
        <rFont val="Calibri"/>
        <family val="2"/>
        <scheme val="minor"/>
      </rPr>
      <t xml:space="preserve"> (Enter # of Seats Above 25)</t>
    </r>
  </si>
  <si>
    <r>
      <rPr>
        <sz val="16"/>
        <color theme="1"/>
        <rFont val="Calibri"/>
        <family val="2"/>
        <scheme val="minor"/>
      </rPr>
      <t>Per Service / Lubrication Bay</t>
    </r>
    <r>
      <rPr>
        <b/>
        <sz val="16"/>
        <color theme="1"/>
        <rFont val="Calibri"/>
        <family val="2"/>
        <scheme val="minor"/>
      </rPr>
      <t xml:space="preserve"> (Enter Total Bays)</t>
    </r>
  </si>
  <si>
    <r>
      <rPr>
        <sz val="16"/>
        <color theme="1"/>
        <rFont val="Calibri"/>
        <family val="2"/>
        <scheme val="minor"/>
      </rPr>
      <t>Per Bed</t>
    </r>
    <r>
      <rPr>
        <b/>
        <sz val="16"/>
        <color theme="1"/>
        <rFont val="Calibri"/>
        <family val="2"/>
        <scheme val="minor"/>
      </rPr>
      <t xml:space="preserve"> (Enter Total Beds)</t>
    </r>
  </si>
  <si>
    <r>
      <rPr>
        <sz val="16"/>
        <color theme="1"/>
        <rFont val="Calibri"/>
        <family val="2"/>
        <scheme val="minor"/>
      </rPr>
      <t>Manual Washing Bay</t>
    </r>
    <r>
      <rPr>
        <b/>
        <sz val="16"/>
        <color theme="1"/>
        <rFont val="Calibri"/>
        <family val="2"/>
        <scheme val="minor"/>
      </rPr>
      <t xml:space="preserve"> (Enter Total Manual Bays)</t>
    </r>
  </si>
  <si>
    <r>
      <rPr>
        <sz val="16"/>
        <color theme="1"/>
        <rFont val="Calibri"/>
        <family val="2"/>
        <scheme val="minor"/>
      </rPr>
      <t>Automatic Washing Bay</t>
    </r>
    <r>
      <rPr>
        <b/>
        <sz val="16"/>
        <color theme="1"/>
        <rFont val="Calibri"/>
        <family val="2"/>
        <scheme val="minor"/>
      </rPr>
      <t xml:space="preserve"> (Enter Total Automatic Bays)</t>
    </r>
  </si>
  <si>
    <r>
      <rPr>
        <sz val="16"/>
        <color theme="1"/>
        <rFont val="Calibri"/>
        <family val="2"/>
        <scheme val="minor"/>
      </rPr>
      <t>0.001 ECU / 100 Sq. Ft. of Drip Emitters</t>
    </r>
    <r>
      <rPr>
        <b/>
        <sz val="16"/>
        <color theme="1"/>
        <rFont val="Calibri"/>
        <family val="2"/>
        <scheme val="minor"/>
      </rPr>
      <t xml:space="preserve"> (Enter Total Sq. Ft.)</t>
    </r>
  </si>
  <si>
    <r>
      <rPr>
        <sz val="16"/>
        <color theme="1"/>
        <rFont val="Calibri"/>
        <family val="2"/>
        <scheme val="minor"/>
      </rPr>
      <t>Spray System - 0.01 ECU / 100 Sq. Ft</t>
    </r>
    <r>
      <rPr>
        <b/>
        <sz val="16"/>
        <color theme="1"/>
        <rFont val="Calibri"/>
        <family val="2"/>
        <scheme val="minor"/>
      </rPr>
      <t>. (Enter Total Sq. Ft.)</t>
    </r>
  </si>
  <si>
    <r>
      <rPr>
        <sz val="16"/>
        <color theme="1"/>
        <rFont val="Calibri"/>
        <family val="2"/>
        <scheme val="minor"/>
      </rPr>
      <t>Per 1,000 Gallons - Year Round Use</t>
    </r>
    <r>
      <rPr>
        <b/>
        <sz val="16"/>
        <color theme="1"/>
        <rFont val="Calibri"/>
        <family val="2"/>
        <scheme val="minor"/>
      </rPr>
      <t xml:space="preserve"> (Enter Total Gallons)</t>
    </r>
  </si>
  <si>
    <r>
      <rPr>
        <sz val="16"/>
        <color theme="1"/>
        <rFont val="Calibri"/>
        <family val="2"/>
        <scheme val="minor"/>
      </rPr>
      <t>Per 100 Gallons</t>
    </r>
    <r>
      <rPr>
        <b/>
        <sz val="16"/>
        <color theme="1"/>
        <rFont val="Calibri"/>
        <family val="2"/>
        <scheme val="minor"/>
      </rPr>
      <t xml:space="preserve"> (Enter Total Gallons)</t>
    </r>
  </si>
  <si>
    <r>
      <rPr>
        <sz val="16"/>
        <color theme="1"/>
        <rFont val="Calibri"/>
        <family val="2"/>
        <scheme val="minor"/>
      </rPr>
      <t>Spray System - 0.01 ECU / 100 Sq. Ft.</t>
    </r>
    <r>
      <rPr>
        <b/>
        <sz val="16"/>
        <color theme="1"/>
        <rFont val="Calibri"/>
        <family val="2"/>
        <scheme val="minor"/>
      </rPr>
      <t xml:space="preserve"> (Enter Total Sq. Ft.)</t>
    </r>
  </si>
  <si>
    <r>
      <rPr>
        <sz val="16"/>
        <color theme="1"/>
        <rFont val="Calibri"/>
        <family val="2"/>
        <scheme val="minor"/>
      </rPr>
      <t xml:space="preserve">Per 100 Gallons </t>
    </r>
    <r>
      <rPr>
        <b/>
        <sz val="16"/>
        <color theme="1"/>
        <rFont val="Calibri"/>
        <family val="2"/>
        <scheme val="minor"/>
      </rPr>
      <t>(Enter Total Gallons)</t>
    </r>
  </si>
  <si>
    <r>
      <rPr>
        <sz val="16"/>
        <color theme="1"/>
        <rFont val="Calibri"/>
        <family val="2"/>
        <scheme val="minor"/>
      </rPr>
      <t xml:space="preserve">Per 1,000 Gallons </t>
    </r>
    <r>
      <rPr>
        <b/>
        <sz val="16"/>
        <color theme="1"/>
        <rFont val="Calibri"/>
        <family val="2"/>
        <scheme val="minor"/>
      </rPr>
      <t>(Enter Total Gallons)</t>
    </r>
  </si>
  <si>
    <t>Complete Outdoor Water Budget Worksheet for Proposed Values Below</t>
  </si>
  <si>
    <t>Number of meters/accounts proposed:</t>
  </si>
  <si>
    <t>Yes</t>
  </si>
  <si>
    <t>No</t>
  </si>
  <si>
    <t>Scrape and Replace</t>
  </si>
  <si>
    <t xml:space="preserve">Brand New </t>
  </si>
  <si>
    <t>ECU</t>
  </si>
  <si>
    <t>Minimum</t>
  </si>
  <si>
    <t>2025 Fees</t>
  </si>
  <si>
    <t>CITY OF ASPEN UTILITIES - COMMERCIAL ECU CALCULATOR - 2025</t>
  </si>
  <si>
    <t>City of Aspen Utilities
427 Rio Grande Place
Aspen, CO 81611
970-920-5110</t>
  </si>
  <si>
    <t>Notes:</t>
  </si>
  <si>
    <t>1. Project Applicant must complete this worksheet as part of the 2024 ECU Calculator Workbook.</t>
  </si>
  <si>
    <t>2. Information entered here in the Outdoor Water Budget Worksheet will autopopulate in the ECU Calculator.</t>
  </si>
  <si>
    <t>Directions for Use:</t>
  </si>
  <si>
    <t xml:space="preserve">Fill in the green sections below. Some columns have drop down menus to assist in filling out the cells. </t>
  </si>
  <si>
    <t>The formulas will calculate the site average seasonal water use.</t>
  </si>
  <si>
    <t xml:space="preserve">If WELS review is required, insert the Hydrozone Water Budget Calculation table on the Irrigation Design Plan. </t>
  </si>
  <si>
    <t xml:space="preserve">CALCULATING GALLONS OF WATER NEEDED BY PLANT CATEGORY AND IRRIGATION TYPE  </t>
  </si>
  <si>
    <t xml:space="preserve">The specific irrigation water needs of each hydrozone in the design is determined using the following formula and factors:                                                                                                                </t>
  </si>
  <si>
    <t xml:space="preserve">Complete the hydrozone table for each hydrozone. Use as many rows as necessary to provide the square footage of landscape area per hydrozone. </t>
  </si>
  <si>
    <t>Update the calculation formulas at the bottom if additional rows are inserted.</t>
  </si>
  <si>
    <t>Irrigated ROW to be included.</t>
  </si>
  <si>
    <t>Irrigated ROW Area (sf)</t>
  </si>
  <si>
    <t>Pool Volume (gallons)</t>
  </si>
  <si>
    <t>updated: 12.09.24</t>
  </si>
  <si>
    <t xml:space="preserve">INSTRUCTIONS: </t>
  </si>
  <si>
    <r>
      <rPr>
        <sz val="16"/>
        <color theme="1"/>
        <rFont val="Calibri"/>
        <family val="2"/>
        <scheme val="minor"/>
      </rPr>
      <t>Per 1,000 Gallons / Day - Non-Consumptive Use</t>
    </r>
    <r>
      <rPr>
        <b/>
        <sz val="16"/>
        <color theme="1"/>
        <rFont val="Calibri"/>
        <family val="2"/>
        <scheme val="minor"/>
      </rPr>
      <t xml:space="preserve"> (Enter Total Gallons/Day)</t>
    </r>
  </si>
  <si>
    <r>
      <rPr>
        <sz val="16"/>
        <color theme="1"/>
        <rFont val="Calibri"/>
        <family val="2"/>
        <scheme val="minor"/>
      </rPr>
      <t>Per 1,000 Gallons / Day - Consumptive Use</t>
    </r>
    <r>
      <rPr>
        <b/>
        <sz val="16"/>
        <color theme="1"/>
        <rFont val="Calibri"/>
        <family val="2"/>
        <scheme val="minor"/>
      </rPr>
      <t xml:space="preserve"> (Enter Total Gallons/Day)</t>
    </r>
  </si>
  <si>
    <r>
      <rPr>
        <sz val="16"/>
        <color theme="1"/>
        <rFont val="Calibri"/>
        <family val="2"/>
        <scheme val="minor"/>
      </rPr>
      <t>Per Customer/Pupil based on Maximum Capacity</t>
    </r>
    <r>
      <rPr>
        <b/>
        <sz val="16"/>
        <color theme="1"/>
        <rFont val="Calibri"/>
        <family val="2"/>
        <scheme val="minor"/>
      </rPr>
      <t xml:space="preserve"> (Enter Total Customers)</t>
    </r>
  </si>
  <si>
    <t>Complete the "Existing Fixture Count" column, as well as the "Proposed Fixture Count" column below. Fill in the GREEN sections and all BLUE cells will automatically calculate.</t>
  </si>
  <si>
    <t xml:space="preserve">A Final Inspection will be conducted on-site prior to Issuance of Certificate of Occupancy. Subject to project delays and/or additional fees if "Final Fixture Count" does not match "Proposed Fixture Count".  </t>
  </si>
  <si>
    <t>Questions? Email megan.killer@aspen.gov</t>
  </si>
  <si>
    <t xml:space="preserve">Questions? </t>
  </si>
  <si>
    <t>Email cmphelp@aspen.gov</t>
  </si>
  <si>
    <t>Hot tub/Jacuzzi/Plunge Pool (Enter Total Gallons)</t>
  </si>
  <si>
    <t>Keep</t>
  </si>
  <si>
    <t>2026 Fees</t>
  </si>
  <si>
    <t xml:space="preserve">Owner Email: </t>
  </si>
  <si>
    <t xml:space="preserve">Proposed Domestic Tap Size: </t>
  </si>
  <si>
    <t>Insubstantial</t>
  </si>
  <si>
    <t>Substantial</t>
  </si>
  <si>
    <t>Unit #:</t>
  </si>
  <si>
    <t>Not Changing and Don't Know</t>
  </si>
  <si>
    <t>Replace/New</t>
  </si>
  <si>
    <t>Total Existing Unit ECU</t>
  </si>
  <si>
    <t>Existing Common Acct ECU</t>
  </si>
  <si>
    <t>Proposed Account ECUS</t>
  </si>
  <si>
    <t>Proposed Unit ECUs</t>
  </si>
  <si>
    <t>Proposed Account ECUs</t>
  </si>
  <si>
    <t>Previous Fees Paid (Substantial Only)</t>
  </si>
  <si>
    <t>Existing Account ECUs (located on water bill):</t>
  </si>
  <si>
    <t>Total Final Account ECU</t>
  </si>
  <si>
    <t>Total Final Unit ECU</t>
  </si>
  <si>
    <t>Common Water Account?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</si>
</sst>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164" formatCode="0.0"/>
    <numFmt numFmtId="165" formatCode="_(&quot;$&quot;* #,##0_);_(&quot;$&quot;* \(#,##0\);_(&quot;$&quot;* &quot;-&quot;??_);_(@_)"/>
    <numFmt numFmtId="166" formatCode="0.0%"/>
    <numFmt numFmtId="167" formatCode="&quot;$&quot;#,##0.00"/>
  </numFmts>
  <fonts count="4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name val="Calibri"/>
      <family val="2"/>
      <scheme val="minor"/>
    </font>
    <font>
      <sz val="16"/>
      <color theme="1"/>
      <name val="Calibri"/>
      <family val="2"/>
      <scheme val="minor"/>
    </font>
    <font>
      <sz val="16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4"/>
      <color theme="0"/>
      <name val="Calibri"/>
      <family val="2"/>
      <scheme val="minor"/>
    </font>
    <font>
      <sz val="12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8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u/>
      <sz val="12"/>
      <color theme="1"/>
      <name val="Calibri"/>
      <family val="2"/>
      <scheme val="minor"/>
    </font>
    <font>
      <sz val="12"/>
      <color indexed="8"/>
      <name val="Calibri"/>
      <family val="2"/>
    </font>
    <font>
      <b/>
      <sz val="12"/>
      <color indexed="8"/>
      <name val="Calibri"/>
      <family val="2"/>
    </font>
    <font>
      <sz val="55"/>
      <color theme="1"/>
      <name val="Calibri"/>
      <family val="2"/>
      <scheme val="minor"/>
    </font>
    <font>
      <b/>
      <sz val="25"/>
      <color theme="1"/>
      <name val="Calibri"/>
      <family val="2"/>
      <scheme val="minor"/>
    </font>
    <font>
      <b/>
      <i/>
      <sz val="26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sz val="9"/>
      <color rgb="FF000000"/>
      <name val="Calibri"/>
      <family val="2"/>
      <scheme val="minor"/>
    </font>
    <font>
      <sz val="8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2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6"/>
      <color rgb="FFFF0000"/>
      <name val="Calibri"/>
      <family val="2"/>
      <scheme val="minor"/>
    </font>
    <font>
      <b/>
      <sz val="12"/>
      <color theme="1"/>
      <name val="Arial"/>
      <family val="2"/>
    </font>
    <font>
      <i/>
      <sz val="12"/>
      <color theme="8" tint="-0.499984740745262"/>
      <name val="Calibri"/>
      <family val="2"/>
      <scheme val="minor"/>
    </font>
    <font>
      <b/>
      <sz val="18"/>
      <color theme="0"/>
      <name val="Calibri"/>
      <family val="2"/>
      <scheme val="minor"/>
    </font>
    <font>
      <sz val="16"/>
      <color theme="0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b/>
      <sz val="28"/>
      <color theme="0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CC99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/>
        <bgColor indexed="64"/>
      </patternFill>
    </fill>
  </fills>
  <borders count="5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44" fontId="1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20" fillId="7" borderId="25" applyNumberFormat="0" applyAlignment="0" applyProtection="0"/>
    <xf numFmtId="9" fontId="1" fillId="0" borderId="0" applyFont="0" applyFill="0" applyBorder="0" applyAlignment="0" applyProtection="0"/>
  </cellStyleXfs>
  <cellXfs count="484">
    <xf numFmtId="0" fontId="0" fillId="0" borderId="0" xfId="0"/>
    <xf numFmtId="0" fontId="0" fillId="2" borderId="0" xfId="0" applyFill="1"/>
    <xf numFmtId="0" fontId="0" fillId="2" borderId="8" xfId="0" applyFill="1" applyBorder="1"/>
    <xf numFmtId="0" fontId="0" fillId="2" borderId="11" xfId="0" applyFill="1" applyBorder="1"/>
    <xf numFmtId="0" fontId="0" fillId="2" borderId="4" xfId="0" applyFill="1" applyBorder="1"/>
    <xf numFmtId="2" fontId="0" fillId="2" borderId="10" xfId="0" applyNumberFormat="1" applyFill="1" applyBorder="1"/>
    <xf numFmtId="0" fontId="5" fillId="2" borderId="12" xfId="0" applyFont="1" applyFill="1" applyBorder="1"/>
    <xf numFmtId="0" fontId="5" fillId="2" borderId="12" xfId="0" applyFont="1" applyFill="1" applyBorder="1" applyAlignment="1">
      <alignment horizontal="center" vertical="center"/>
    </xf>
    <xf numFmtId="0" fontId="5" fillId="0" borderId="0" xfId="0" applyFont="1"/>
    <xf numFmtId="0" fontId="7" fillId="0" borderId="0" xfId="0" applyFont="1"/>
    <xf numFmtId="0" fontId="7" fillId="2" borderId="13" xfId="0" applyFont="1" applyFill="1" applyBorder="1"/>
    <xf numFmtId="0" fontId="7" fillId="0" borderId="7" xfId="0" applyFont="1" applyBorder="1"/>
    <xf numFmtId="0" fontId="7" fillId="2" borderId="16" xfId="0" applyFont="1" applyFill="1" applyBorder="1"/>
    <xf numFmtId="0" fontId="8" fillId="2" borderId="7" xfId="0" applyFont="1" applyFill="1" applyBorder="1" applyAlignment="1">
      <alignment horizontal="left"/>
    </xf>
    <xf numFmtId="0" fontId="7" fillId="2" borderId="7" xfId="0" applyFont="1" applyFill="1" applyBorder="1"/>
    <xf numFmtId="0" fontId="7" fillId="2" borderId="17" xfId="0" applyFont="1" applyFill="1" applyBorder="1"/>
    <xf numFmtId="0" fontId="8" fillId="2" borderId="15" xfId="0" applyFont="1" applyFill="1" applyBorder="1" applyAlignment="1">
      <alignment horizontal="left"/>
    </xf>
    <xf numFmtId="0" fontId="7" fillId="2" borderId="15" xfId="0" applyFont="1" applyFill="1" applyBorder="1"/>
    <xf numFmtId="0" fontId="7" fillId="0" borderId="10" xfId="0" applyFont="1" applyBorder="1"/>
    <xf numFmtId="0" fontId="8" fillId="2" borderId="15" xfId="0" applyFont="1" applyFill="1" applyBorder="1" applyAlignment="1">
      <alignment horizontal="left" wrapText="1"/>
    </xf>
    <xf numFmtId="0" fontId="7" fillId="2" borderId="19" xfId="0" applyFont="1" applyFill="1" applyBorder="1"/>
    <xf numFmtId="0" fontId="0" fillId="2" borderId="1" xfId="0" applyFill="1" applyBorder="1"/>
    <xf numFmtId="0" fontId="0" fillId="2" borderId="2" xfId="0" applyFill="1" applyBorder="1"/>
    <xf numFmtId="0" fontId="0" fillId="2" borderId="3" xfId="0" applyFill="1" applyBorder="1"/>
    <xf numFmtId="0" fontId="0" fillId="2" borderId="6" xfId="0" applyFill="1" applyBorder="1"/>
    <xf numFmtId="0" fontId="0" fillId="2" borderId="9" xfId="0" applyFill="1" applyBorder="1"/>
    <xf numFmtId="0" fontId="0" fillId="2" borderId="7" xfId="0" applyFill="1" applyBorder="1"/>
    <xf numFmtId="0" fontId="0" fillId="2" borderId="13" xfId="0" applyFill="1" applyBorder="1" applyAlignment="1">
      <alignment horizontal="center"/>
    </xf>
    <xf numFmtId="0" fontId="7" fillId="0" borderId="16" xfId="0" applyFont="1" applyBorder="1"/>
    <xf numFmtId="0" fontId="7" fillId="5" borderId="13" xfId="0" applyFont="1" applyFill="1" applyBorder="1"/>
    <xf numFmtId="0" fontId="7" fillId="5" borderId="15" xfId="0" applyFont="1" applyFill="1" applyBorder="1"/>
    <xf numFmtId="0" fontId="7" fillId="5" borderId="16" xfId="0" applyFont="1" applyFill="1" applyBorder="1"/>
    <xf numFmtId="0" fontId="7" fillId="5" borderId="17" xfId="0" applyFont="1" applyFill="1" applyBorder="1"/>
    <xf numFmtId="0" fontId="7" fillId="5" borderId="7" xfId="0" applyFont="1" applyFill="1" applyBorder="1"/>
    <xf numFmtId="0" fontId="7" fillId="5" borderId="19" xfId="0" applyFont="1" applyFill="1" applyBorder="1"/>
    <xf numFmtId="0" fontId="7" fillId="5" borderId="18" xfId="0" applyFont="1" applyFill="1" applyBorder="1"/>
    <xf numFmtId="0" fontId="7" fillId="5" borderId="10" xfId="0" applyFont="1" applyFill="1" applyBorder="1"/>
    <xf numFmtId="0" fontId="7" fillId="4" borderId="13" xfId="0" applyFont="1" applyFill="1" applyBorder="1" applyAlignment="1" applyProtection="1">
      <alignment horizontal="center"/>
      <protection locked="0"/>
    </xf>
    <xf numFmtId="0" fontId="7" fillId="4" borderId="7" xfId="0" applyFont="1" applyFill="1" applyBorder="1" applyAlignment="1" applyProtection="1">
      <alignment horizontal="center"/>
      <protection locked="0"/>
    </xf>
    <xf numFmtId="0" fontId="7" fillId="4" borderId="16" xfId="0" applyFont="1" applyFill="1" applyBorder="1" applyAlignment="1" applyProtection="1">
      <alignment horizontal="center"/>
      <protection locked="0"/>
    </xf>
    <xf numFmtId="0" fontId="7" fillId="4" borderId="17" xfId="0" applyFont="1" applyFill="1" applyBorder="1" applyAlignment="1" applyProtection="1">
      <alignment horizontal="center"/>
      <protection locked="0"/>
    </xf>
    <xf numFmtId="0" fontId="7" fillId="4" borderId="19" xfId="0" applyFont="1" applyFill="1" applyBorder="1" applyAlignment="1" applyProtection="1">
      <alignment horizontal="center"/>
      <protection locked="0"/>
    </xf>
    <xf numFmtId="0" fontId="7" fillId="4" borderId="15" xfId="0" applyFont="1" applyFill="1" applyBorder="1" applyAlignment="1" applyProtection="1">
      <alignment horizontal="center"/>
      <protection locked="0"/>
    </xf>
    <xf numFmtId="0" fontId="7" fillId="4" borderId="11" xfId="0" applyFont="1" applyFill="1" applyBorder="1" applyAlignment="1" applyProtection="1">
      <alignment horizontal="center"/>
      <protection locked="0"/>
    </xf>
    <xf numFmtId="0" fontId="6" fillId="6" borderId="12" xfId="0" applyFont="1" applyFill="1" applyBorder="1" applyAlignment="1">
      <alignment horizontal="center" vertical="center"/>
    </xf>
    <xf numFmtId="2" fontId="8" fillId="6" borderId="13" xfId="0" applyNumberFormat="1" applyFont="1" applyFill="1" applyBorder="1" applyAlignment="1">
      <alignment horizontal="center"/>
    </xf>
    <xf numFmtId="0" fontId="8" fillId="6" borderId="7" xfId="0" applyFont="1" applyFill="1" applyBorder="1" applyAlignment="1">
      <alignment horizontal="center"/>
    </xf>
    <xf numFmtId="0" fontId="8" fillId="6" borderId="16" xfId="0" applyFont="1" applyFill="1" applyBorder="1" applyAlignment="1">
      <alignment horizontal="center"/>
    </xf>
    <xf numFmtId="0" fontId="8" fillId="6" borderId="17" xfId="0" applyFont="1" applyFill="1" applyBorder="1" applyAlignment="1">
      <alignment horizontal="center"/>
    </xf>
    <xf numFmtId="0" fontId="8" fillId="6" borderId="15" xfId="0" applyFont="1" applyFill="1" applyBorder="1" applyAlignment="1">
      <alignment horizontal="center"/>
    </xf>
    <xf numFmtId="2" fontId="8" fillId="6" borderId="7" xfId="0" applyNumberFormat="1" applyFont="1" applyFill="1" applyBorder="1" applyAlignment="1">
      <alignment horizontal="center"/>
    </xf>
    <xf numFmtId="0" fontId="8" fillId="6" borderId="19" xfId="0" applyFont="1" applyFill="1" applyBorder="1" applyAlignment="1">
      <alignment horizontal="center"/>
    </xf>
    <xf numFmtId="2" fontId="8" fillId="6" borderId="15" xfId="0" applyNumberFormat="1" applyFont="1" applyFill="1" applyBorder="1" applyAlignment="1">
      <alignment horizontal="center"/>
    </xf>
    <xf numFmtId="0" fontId="8" fillId="6" borderId="10" xfId="0" applyFont="1" applyFill="1" applyBorder="1" applyAlignment="1">
      <alignment horizontal="center"/>
    </xf>
    <xf numFmtId="0" fontId="5" fillId="5" borderId="13" xfId="0" applyFont="1" applyFill="1" applyBorder="1" applyAlignment="1">
      <alignment horizontal="center" vertical="center"/>
    </xf>
    <xf numFmtId="44" fontId="0" fillId="2" borderId="9" xfId="0" applyNumberFormat="1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5" fillId="2" borderId="11" xfId="0" applyFont="1" applyFill="1" applyBorder="1"/>
    <xf numFmtId="0" fontId="10" fillId="2" borderId="1" xfId="0" applyFont="1" applyFill="1" applyBorder="1"/>
    <xf numFmtId="0" fontId="10" fillId="2" borderId="8" xfId="0" applyFont="1" applyFill="1" applyBorder="1"/>
    <xf numFmtId="0" fontId="10" fillId="2" borderId="13" xfId="0" applyFont="1" applyFill="1" applyBorder="1" applyAlignment="1">
      <alignment horizontal="right"/>
    </xf>
    <xf numFmtId="44" fontId="0" fillId="2" borderId="20" xfId="1" applyFont="1" applyFill="1" applyBorder="1"/>
    <xf numFmtId="44" fontId="0" fillId="2" borderId="14" xfId="1" applyFont="1" applyFill="1" applyBorder="1"/>
    <xf numFmtId="0" fontId="5" fillId="4" borderId="12" xfId="0" applyFont="1" applyFill="1" applyBorder="1" applyAlignment="1" applyProtection="1">
      <alignment horizontal="center" vertical="center"/>
      <protection locked="0"/>
    </xf>
    <xf numFmtId="0" fontId="8" fillId="4" borderId="7" xfId="0" applyFont="1" applyFill="1" applyBorder="1" applyAlignment="1" applyProtection="1">
      <alignment horizontal="center"/>
      <protection locked="0"/>
    </xf>
    <xf numFmtId="0" fontId="8" fillId="4" borderId="15" xfId="0" applyFont="1" applyFill="1" applyBorder="1" applyAlignment="1" applyProtection="1">
      <alignment horizontal="center"/>
      <protection locked="0"/>
    </xf>
    <xf numFmtId="0" fontId="4" fillId="3" borderId="4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7" fillId="10" borderId="17" xfId="0" applyFont="1" applyFill="1" applyBorder="1" applyAlignment="1" applyProtection="1">
      <alignment horizontal="center"/>
      <protection hidden="1"/>
    </xf>
    <xf numFmtId="0" fontId="11" fillId="2" borderId="13" xfId="0" applyFont="1" applyFill="1" applyBorder="1" applyAlignment="1">
      <alignment horizontal="right"/>
    </xf>
    <xf numFmtId="0" fontId="31" fillId="3" borderId="1" xfId="0" applyFont="1" applyFill="1" applyBorder="1" applyAlignment="1">
      <alignment horizontal="center"/>
    </xf>
    <xf numFmtId="0" fontId="0" fillId="0" borderId="0" xfId="0" applyAlignment="1">
      <alignment wrapText="1"/>
    </xf>
    <xf numFmtId="14" fontId="5" fillId="10" borderId="13" xfId="0" applyNumberFormat="1" applyFont="1" applyFill="1" applyBorder="1" applyAlignment="1" applyProtection="1">
      <alignment horizontal="center"/>
      <protection hidden="1"/>
    </xf>
    <xf numFmtId="0" fontId="31" fillId="3" borderId="3" xfId="0" applyFont="1" applyFill="1" applyBorder="1" applyAlignment="1">
      <alignment horizontal="center"/>
    </xf>
    <xf numFmtId="0" fontId="10" fillId="10" borderId="12" xfId="0" applyFont="1" applyFill="1" applyBorder="1"/>
    <xf numFmtId="0" fontId="9" fillId="10" borderId="20" xfId="0" applyFont="1" applyFill="1" applyBorder="1" applyAlignment="1" applyProtection="1">
      <alignment horizontal="center"/>
      <protection locked="0"/>
    </xf>
    <xf numFmtId="0" fontId="3" fillId="10" borderId="14" xfId="0" applyFont="1" applyFill="1" applyBorder="1" applyAlignment="1" applyProtection="1">
      <alignment horizontal="center" vertical="top"/>
      <protection locked="0"/>
    </xf>
    <xf numFmtId="0" fontId="7" fillId="9" borderId="42" xfId="0" applyFont="1" applyFill="1" applyBorder="1" applyAlignment="1" applyProtection="1">
      <alignment horizontal="center"/>
      <protection locked="0"/>
    </xf>
    <xf numFmtId="0" fontId="7" fillId="9" borderId="23" xfId="0" applyFont="1" applyFill="1" applyBorder="1" applyAlignment="1" applyProtection="1">
      <alignment horizontal="center"/>
      <protection locked="0"/>
    </xf>
    <xf numFmtId="0" fontId="7" fillId="9" borderId="27" xfId="0" applyFont="1" applyFill="1" applyBorder="1" applyAlignment="1" applyProtection="1">
      <alignment horizontal="center"/>
      <protection locked="0"/>
    </xf>
    <xf numFmtId="0" fontId="7" fillId="10" borderId="42" xfId="0" applyFont="1" applyFill="1" applyBorder="1" applyAlignment="1" applyProtection="1">
      <alignment horizontal="center"/>
      <protection locked="0"/>
    </xf>
    <xf numFmtId="0" fontId="7" fillId="10" borderId="27" xfId="0" applyFont="1" applyFill="1" applyBorder="1" applyAlignment="1" applyProtection="1">
      <alignment horizontal="center"/>
      <protection locked="0"/>
    </xf>
    <xf numFmtId="0" fontId="7" fillId="10" borderId="24" xfId="0" applyFont="1" applyFill="1" applyBorder="1" applyAlignment="1" applyProtection="1">
      <alignment horizontal="center"/>
      <protection locked="0"/>
    </xf>
    <xf numFmtId="0" fontId="39" fillId="10" borderId="0" xfId="0" applyFont="1" applyFill="1" applyAlignment="1" applyProtection="1">
      <alignment horizontal="center"/>
      <protection hidden="1"/>
    </xf>
    <xf numFmtId="0" fontId="7" fillId="10" borderId="22" xfId="0" applyFont="1" applyFill="1" applyBorder="1" applyAlignment="1" applyProtection="1">
      <alignment horizontal="center"/>
      <protection locked="0"/>
    </xf>
    <xf numFmtId="0" fontId="7" fillId="10" borderId="23" xfId="0" applyFont="1" applyFill="1" applyBorder="1" applyAlignment="1" applyProtection="1">
      <alignment horizontal="center"/>
      <protection locked="0"/>
    </xf>
    <xf numFmtId="0" fontId="8" fillId="0" borderId="10" xfId="0" applyFont="1" applyBorder="1" applyProtection="1">
      <protection locked="0"/>
    </xf>
    <xf numFmtId="0" fontId="7" fillId="9" borderId="0" xfId="0" applyFont="1" applyFill="1" applyAlignment="1" applyProtection="1">
      <alignment horizontal="center"/>
      <protection locked="0"/>
    </xf>
    <xf numFmtId="0" fontId="35" fillId="12" borderId="7" xfId="0" applyFont="1" applyFill="1" applyBorder="1" applyAlignment="1">
      <alignment horizontal="centerContinuous"/>
    </xf>
    <xf numFmtId="0" fontId="35" fillId="12" borderId="0" xfId="0" applyFont="1" applyFill="1" applyAlignment="1">
      <alignment horizontal="centerContinuous"/>
    </xf>
    <xf numFmtId="0" fontId="38" fillId="10" borderId="22" xfId="0" applyFont="1" applyFill="1" applyBorder="1" applyAlignment="1" applyProtection="1">
      <alignment horizontal="center"/>
      <protection locked="0"/>
    </xf>
    <xf numFmtId="0" fontId="9" fillId="10" borderId="22" xfId="0" applyFont="1" applyFill="1" applyBorder="1" applyAlignment="1" applyProtection="1">
      <alignment horizontal="center"/>
      <protection locked="0"/>
    </xf>
    <xf numFmtId="0" fontId="0" fillId="10" borderId="33" xfId="0" applyFill="1" applyBorder="1" applyAlignment="1">
      <alignment horizontal="center"/>
    </xf>
    <xf numFmtId="0" fontId="0" fillId="0" borderId="33" xfId="0" applyBorder="1" applyAlignment="1">
      <alignment horizontal="center"/>
    </xf>
    <xf numFmtId="0" fontId="3" fillId="2" borderId="0" xfId="0" applyFont="1" applyFill="1" applyAlignment="1">
      <alignment vertical="center" wrapText="1"/>
    </xf>
    <xf numFmtId="0" fontId="3" fillId="2" borderId="0" xfId="0" applyFont="1" applyFill="1" applyAlignment="1">
      <alignment vertical="center"/>
    </xf>
    <xf numFmtId="0" fontId="0" fillId="10" borderId="40" xfId="0" applyFill="1" applyBorder="1" applyAlignment="1">
      <alignment horizontal="center"/>
    </xf>
    <xf numFmtId="0" fontId="0" fillId="0" borderId="40" xfId="0" applyBorder="1" applyAlignment="1">
      <alignment horizontal="center"/>
    </xf>
    <xf numFmtId="0" fontId="3" fillId="2" borderId="0" xfId="0" applyFont="1" applyFill="1" applyAlignment="1">
      <alignment horizontal="right" vertical="center"/>
    </xf>
    <xf numFmtId="0" fontId="0" fillId="2" borderId="37" xfId="0" applyFill="1" applyBorder="1"/>
    <xf numFmtId="0" fontId="0" fillId="2" borderId="23" xfId="0" applyFill="1" applyBorder="1"/>
    <xf numFmtId="0" fontId="10" fillId="2" borderId="23" xfId="0" applyFont="1" applyFill="1" applyBorder="1" applyAlignment="1">
      <alignment horizontal="right"/>
    </xf>
    <xf numFmtId="164" fontId="10" fillId="2" borderId="23" xfId="0" applyNumberFormat="1" applyFont="1" applyFill="1" applyBorder="1" applyAlignment="1">
      <alignment horizontal="left"/>
    </xf>
    <xf numFmtId="0" fontId="0" fillId="2" borderId="21" xfId="0" applyFill="1" applyBorder="1"/>
    <xf numFmtId="0" fontId="0" fillId="2" borderId="30" xfId="0" applyFill="1" applyBorder="1"/>
    <xf numFmtId="0" fontId="0" fillId="2" borderId="11" xfId="0" applyFill="1" applyBorder="1" applyAlignment="1">
      <alignment horizontal="centerContinuous"/>
    </xf>
    <xf numFmtId="0" fontId="3" fillId="2" borderId="1" xfId="0" applyFont="1" applyFill="1" applyBorder="1" applyAlignment="1">
      <alignment horizontal="right"/>
    </xf>
    <xf numFmtId="0" fontId="3" fillId="2" borderId="2" xfId="0" applyFont="1" applyFill="1" applyBorder="1" applyAlignment="1">
      <alignment horizontal="right"/>
    </xf>
    <xf numFmtId="0" fontId="3" fillId="2" borderId="2" xfId="0" applyFont="1" applyFill="1" applyBorder="1"/>
    <xf numFmtId="0" fontId="3" fillId="2" borderId="8" xfId="0" applyFont="1" applyFill="1" applyBorder="1"/>
    <xf numFmtId="0" fontId="3" fillId="2" borderId="11" xfId="0" applyFont="1" applyFill="1" applyBorder="1"/>
    <xf numFmtId="0" fontId="3" fillId="2" borderId="6" xfId="0" applyFont="1" applyFill="1" applyBorder="1"/>
    <xf numFmtId="0" fontId="0" fillId="0" borderId="3" xfId="0" applyBorder="1"/>
    <xf numFmtId="0" fontId="7" fillId="2" borderId="5" xfId="0" applyFont="1" applyFill="1" applyBorder="1"/>
    <xf numFmtId="0" fontId="0" fillId="0" borderId="30" xfId="0" applyBorder="1" applyAlignment="1">
      <alignment vertical="center"/>
    </xf>
    <xf numFmtId="0" fontId="3" fillId="0" borderId="33" xfId="0" applyFont="1" applyBorder="1" applyAlignment="1">
      <alignment horizontal="center" vertical="center"/>
    </xf>
    <xf numFmtId="14" fontId="3" fillId="2" borderId="6" xfId="0" applyNumberFormat="1" applyFont="1" applyFill="1" applyBorder="1" applyAlignment="1">
      <alignment horizontal="center"/>
    </xf>
    <xf numFmtId="0" fontId="3" fillId="2" borderId="20" xfId="0" applyFont="1" applyFill="1" applyBorder="1" applyAlignment="1">
      <alignment horizontal="center"/>
    </xf>
    <xf numFmtId="0" fontId="3" fillId="2" borderId="11" xfId="0" applyFont="1" applyFill="1" applyBorder="1" applyAlignment="1">
      <alignment horizontal="center"/>
    </xf>
    <xf numFmtId="0" fontId="9" fillId="2" borderId="4" xfId="0" applyFont="1" applyFill="1" applyBorder="1" applyAlignment="1">
      <alignment horizontal="right"/>
    </xf>
    <xf numFmtId="14" fontId="3" fillId="0" borderId="6" xfId="0" applyNumberFormat="1" applyFont="1" applyBorder="1" applyAlignment="1" applyProtection="1">
      <alignment horizontal="center"/>
      <protection locked="0"/>
    </xf>
    <xf numFmtId="0" fontId="8" fillId="10" borderId="16" xfId="0" applyFont="1" applyFill="1" applyBorder="1" applyAlignment="1">
      <alignment horizontal="center"/>
    </xf>
    <xf numFmtId="0" fontId="8" fillId="10" borderId="7" xfId="0" applyFont="1" applyFill="1" applyBorder="1" applyAlignment="1">
      <alignment horizontal="center"/>
    </xf>
    <xf numFmtId="0" fontId="8" fillId="10" borderId="17" xfId="0" applyFont="1" applyFill="1" applyBorder="1" applyAlignment="1">
      <alignment horizontal="center"/>
    </xf>
    <xf numFmtId="0" fontId="8" fillId="10" borderId="15" xfId="0" applyFont="1" applyFill="1" applyBorder="1" applyAlignment="1">
      <alignment horizontal="center"/>
    </xf>
    <xf numFmtId="0" fontId="8" fillId="10" borderId="19" xfId="0" applyFont="1" applyFill="1" applyBorder="1" applyAlignment="1">
      <alignment horizontal="center"/>
    </xf>
    <xf numFmtId="2" fontId="8" fillId="10" borderId="18" xfId="0" applyNumberFormat="1" applyFont="1" applyFill="1" applyBorder="1" applyAlignment="1">
      <alignment horizontal="center"/>
    </xf>
    <xf numFmtId="0" fontId="8" fillId="10" borderId="18" xfId="0" applyFont="1" applyFill="1" applyBorder="1" applyAlignment="1">
      <alignment horizontal="center"/>
    </xf>
    <xf numFmtId="14" fontId="9" fillId="9" borderId="13" xfId="0" applyNumberFormat="1" applyFont="1" applyFill="1" applyBorder="1" applyAlignment="1">
      <alignment horizontal="center"/>
    </xf>
    <xf numFmtId="0" fontId="7" fillId="9" borderId="22" xfId="0" applyFont="1" applyFill="1" applyBorder="1" applyAlignment="1" applyProtection="1">
      <alignment horizontal="center"/>
      <protection locked="0"/>
    </xf>
    <xf numFmtId="0" fontId="7" fillId="9" borderId="24" xfId="0" applyFont="1" applyFill="1" applyBorder="1" applyAlignment="1" applyProtection="1">
      <alignment horizontal="center"/>
      <protection locked="0"/>
    </xf>
    <xf numFmtId="0" fontId="7" fillId="10" borderId="18" xfId="0" applyFont="1" applyFill="1" applyBorder="1" applyAlignment="1" applyProtection="1">
      <alignment horizontal="center"/>
      <protection hidden="1"/>
    </xf>
    <xf numFmtId="0" fontId="7" fillId="10" borderId="15" xfId="0" applyFont="1" applyFill="1" applyBorder="1" applyAlignment="1" applyProtection="1">
      <alignment horizontal="center"/>
      <protection hidden="1"/>
    </xf>
    <xf numFmtId="0" fontId="7" fillId="10" borderId="16" xfId="0" applyFont="1" applyFill="1" applyBorder="1" applyAlignment="1" applyProtection="1">
      <alignment horizontal="center"/>
      <protection hidden="1"/>
    </xf>
    <xf numFmtId="0" fontId="7" fillId="10" borderId="19" xfId="0" applyFont="1" applyFill="1" applyBorder="1" applyAlignment="1" applyProtection="1">
      <alignment horizontal="center"/>
      <protection hidden="1"/>
    </xf>
    <xf numFmtId="0" fontId="0" fillId="2" borderId="29" xfId="0" applyFill="1" applyBorder="1" applyAlignment="1">
      <alignment vertical="center"/>
    </xf>
    <xf numFmtId="0" fontId="0" fillId="2" borderId="30" xfId="0" applyFill="1" applyBorder="1" applyAlignment="1">
      <alignment vertical="center"/>
    </xf>
    <xf numFmtId="0" fontId="9" fillId="11" borderId="33" xfId="0" applyFont="1" applyFill="1" applyBorder="1" applyAlignment="1">
      <alignment horizontal="center" vertical="center"/>
    </xf>
    <xf numFmtId="2" fontId="3" fillId="0" borderId="33" xfId="0" applyNumberFormat="1" applyFont="1" applyBorder="1" applyAlignment="1">
      <alignment horizontal="center" vertical="center"/>
    </xf>
    <xf numFmtId="0" fontId="15" fillId="0" borderId="33" xfId="3" applyFont="1" applyFill="1" applyBorder="1" applyAlignment="1" applyProtection="1">
      <alignment horizontal="center" vertical="center"/>
    </xf>
    <xf numFmtId="164" fontId="15" fillId="0" borderId="33" xfId="3" applyNumberFormat="1" applyFont="1" applyFill="1" applyBorder="1" applyAlignment="1" applyProtection="1">
      <alignment horizontal="center" vertical="center"/>
    </xf>
    <xf numFmtId="0" fontId="9" fillId="11" borderId="38" xfId="0" applyFont="1" applyFill="1" applyBorder="1" applyAlignment="1">
      <alignment horizontal="center" vertical="center" wrapText="1"/>
    </xf>
    <xf numFmtId="0" fontId="19" fillId="11" borderId="3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21" xfId="0" applyFont="1" applyFill="1" applyBorder="1" applyAlignment="1">
      <alignment horizontal="center" vertical="center"/>
    </xf>
    <xf numFmtId="0" fontId="9" fillId="11" borderId="39" xfId="0" applyFont="1" applyFill="1" applyBorder="1" applyAlignment="1">
      <alignment horizontal="center" vertical="center"/>
    </xf>
    <xf numFmtId="0" fontId="9" fillId="11" borderId="33" xfId="0" applyFont="1" applyFill="1" applyBorder="1" applyAlignment="1">
      <alignment horizontal="center" vertical="center" wrapText="1"/>
    </xf>
    <xf numFmtId="0" fontId="9" fillId="11" borderId="38" xfId="0" applyFont="1" applyFill="1" applyBorder="1" applyAlignment="1">
      <alignment horizontal="center" vertical="center"/>
    </xf>
    <xf numFmtId="0" fontId="9" fillId="11" borderId="40" xfId="0" applyFont="1" applyFill="1" applyBorder="1" applyAlignment="1">
      <alignment horizontal="center" vertical="center" wrapText="1"/>
    </xf>
    <xf numFmtId="0" fontId="3" fillId="0" borderId="39" xfId="0" applyFont="1" applyBorder="1" applyAlignment="1">
      <alignment horizontal="center" vertical="center" wrapText="1"/>
    </xf>
    <xf numFmtId="0" fontId="3" fillId="2" borderId="4" xfId="0" applyFont="1" applyFill="1" applyBorder="1" applyAlignment="1">
      <alignment horizontal="right" vertical="center"/>
    </xf>
    <xf numFmtId="0" fontId="0" fillId="2" borderId="34" xfId="0" applyFill="1" applyBorder="1" applyAlignment="1">
      <alignment vertical="center"/>
    </xf>
    <xf numFmtId="0" fontId="23" fillId="2" borderId="35" xfId="0" applyFont="1" applyFill="1" applyBorder="1" applyAlignment="1">
      <alignment horizontal="right" vertical="center"/>
    </xf>
    <xf numFmtId="2" fontId="15" fillId="10" borderId="33" xfId="0" applyNumberFormat="1" applyFont="1" applyFill="1" applyBorder="1" applyAlignment="1">
      <alignment horizontal="center" vertical="center" wrapText="1"/>
    </xf>
    <xf numFmtId="0" fontId="15" fillId="9" borderId="33" xfId="0" applyFont="1" applyFill="1" applyBorder="1" applyAlignment="1" applyProtection="1">
      <alignment horizontal="center" vertical="center" wrapText="1"/>
      <protection locked="0"/>
    </xf>
    <xf numFmtId="0" fontId="15" fillId="9" borderId="33" xfId="0" applyFont="1" applyFill="1" applyBorder="1" applyAlignment="1" applyProtection="1">
      <alignment horizontal="center" vertical="center"/>
      <protection locked="0"/>
    </xf>
    <xf numFmtId="1" fontId="15" fillId="10" borderId="40" xfId="0" applyNumberFormat="1" applyFont="1" applyFill="1" applyBorder="1" applyAlignment="1">
      <alignment horizontal="center" vertical="center"/>
    </xf>
    <xf numFmtId="0" fontId="15" fillId="10" borderId="33" xfId="0" applyFont="1" applyFill="1" applyBorder="1" applyAlignment="1">
      <alignment horizontal="center" vertical="center" wrapText="1"/>
    </xf>
    <xf numFmtId="164" fontId="15" fillId="10" borderId="33" xfId="0" applyNumberFormat="1" applyFont="1" applyFill="1" applyBorder="1" applyAlignment="1">
      <alignment horizontal="center" vertical="center" wrapText="1"/>
    </xf>
    <xf numFmtId="0" fontId="19" fillId="11" borderId="38" xfId="0" applyFont="1" applyFill="1" applyBorder="1" applyAlignment="1">
      <alignment horizontal="center" vertical="center" wrapText="1"/>
    </xf>
    <xf numFmtId="0" fontId="15" fillId="9" borderId="38" xfId="0" applyFont="1" applyFill="1" applyBorder="1" applyAlignment="1" applyProtection="1">
      <alignment horizontal="center" vertical="center"/>
      <protection locked="0"/>
    </xf>
    <xf numFmtId="1" fontId="15" fillId="10" borderId="41" xfId="0" applyNumberFormat="1" applyFont="1" applyFill="1" applyBorder="1" applyAlignment="1">
      <alignment horizontal="center" vertical="center"/>
    </xf>
    <xf numFmtId="2" fontId="7" fillId="10" borderId="15" xfId="0" applyNumberFormat="1" applyFont="1" applyFill="1" applyBorder="1" applyAlignment="1" applyProtection="1">
      <alignment horizontal="center"/>
      <protection hidden="1"/>
    </xf>
    <xf numFmtId="0" fontId="7" fillId="10" borderId="16" xfId="0" applyFont="1" applyFill="1" applyBorder="1" applyAlignment="1" applyProtection="1">
      <alignment horizontal="center"/>
      <protection locked="0"/>
    </xf>
    <xf numFmtId="0" fontId="7" fillId="10" borderId="7" xfId="0" applyFont="1" applyFill="1" applyBorder="1" applyAlignment="1" applyProtection="1">
      <alignment horizontal="center"/>
      <protection locked="0"/>
    </xf>
    <xf numFmtId="0" fontId="7" fillId="10" borderId="17" xfId="0" applyFont="1" applyFill="1" applyBorder="1" applyAlignment="1" applyProtection="1">
      <alignment horizontal="center"/>
      <protection locked="0"/>
    </xf>
    <xf numFmtId="0" fontId="7" fillId="10" borderId="19" xfId="0" applyFont="1" applyFill="1" applyBorder="1" applyAlignment="1" applyProtection="1">
      <alignment horizontal="center"/>
      <protection locked="0"/>
    </xf>
    <xf numFmtId="0" fontId="7" fillId="10" borderId="18" xfId="0" applyFont="1" applyFill="1" applyBorder="1" applyAlignment="1" applyProtection="1">
      <alignment horizontal="center"/>
      <protection locked="0"/>
    </xf>
    <xf numFmtId="0" fontId="19" fillId="11" borderId="40" xfId="0" applyFont="1" applyFill="1" applyBorder="1" applyAlignment="1">
      <alignment horizontal="center" vertical="center" wrapText="1"/>
    </xf>
    <xf numFmtId="0" fontId="19" fillId="0" borderId="39" xfId="0" applyFont="1" applyBorder="1" applyAlignment="1">
      <alignment horizontal="center" vertical="center" wrapText="1"/>
    </xf>
    <xf numFmtId="0" fontId="3" fillId="10" borderId="13" xfId="0" applyFont="1" applyFill="1" applyBorder="1" applyAlignment="1" applyProtection="1">
      <alignment horizontal="right"/>
      <protection locked="0"/>
    </xf>
    <xf numFmtId="14" fontId="3" fillId="10" borderId="13" xfId="0" applyNumberFormat="1" applyFont="1" applyFill="1" applyBorder="1" applyAlignment="1" applyProtection="1">
      <alignment horizontal="center"/>
      <protection locked="0"/>
    </xf>
    <xf numFmtId="2" fontId="8" fillId="10" borderId="16" xfId="0" applyNumberFormat="1" applyFont="1" applyFill="1" applyBorder="1" applyAlignment="1">
      <alignment horizontal="center"/>
    </xf>
    <xf numFmtId="0" fontId="16" fillId="10" borderId="4" xfId="0" applyFont="1" applyFill="1" applyBorder="1" applyAlignment="1">
      <alignment horizontal="center"/>
    </xf>
    <xf numFmtId="164" fontId="16" fillId="10" borderId="6" xfId="0" applyNumberFormat="1" applyFont="1" applyFill="1" applyBorder="1" applyAlignment="1">
      <alignment horizontal="center"/>
    </xf>
    <xf numFmtId="0" fontId="16" fillId="10" borderId="8" xfId="0" applyFont="1" applyFill="1" applyBorder="1" applyAlignment="1">
      <alignment horizontal="center"/>
    </xf>
    <xf numFmtId="164" fontId="16" fillId="10" borderId="9" xfId="0" applyNumberFormat="1" applyFont="1" applyFill="1" applyBorder="1" applyAlignment="1">
      <alignment horizontal="center"/>
    </xf>
    <xf numFmtId="0" fontId="7" fillId="0" borderId="17" xfId="0" applyFont="1" applyBorder="1"/>
    <xf numFmtId="0" fontId="7" fillId="2" borderId="4" xfId="0" applyFont="1" applyFill="1" applyBorder="1"/>
    <xf numFmtId="0" fontId="9" fillId="2" borderId="28" xfId="0" applyFont="1" applyFill="1" applyBorder="1" applyAlignment="1">
      <alignment horizontal="right" vertical="center"/>
    </xf>
    <xf numFmtId="0" fontId="21" fillId="8" borderId="32" xfId="0" applyFont="1" applyFill="1" applyBorder="1" applyAlignment="1">
      <alignment horizontal="centerContinuous" vertical="center" wrapText="1"/>
    </xf>
    <xf numFmtId="0" fontId="22" fillId="0" borderId="26" xfId="0" applyFont="1" applyBorder="1" applyAlignment="1">
      <alignment horizontal="centerContinuous" vertical="center" wrapText="1"/>
    </xf>
    <xf numFmtId="0" fontId="22" fillId="0" borderId="27" xfId="0" applyFont="1" applyBorder="1" applyAlignment="1">
      <alignment horizontal="centerContinuous" vertical="center" wrapText="1"/>
    </xf>
    <xf numFmtId="0" fontId="22" fillId="0" borderId="28" xfId="0" applyFont="1" applyBorder="1" applyAlignment="1">
      <alignment horizontal="centerContinuous" vertical="center" wrapText="1"/>
    </xf>
    <xf numFmtId="0" fontId="9" fillId="2" borderId="26" xfId="0" applyFont="1" applyFill="1" applyBorder="1" applyAlignment="1">
      <alignment vertical="center"/>
    </xf>
    <xf numFmtId="0" fontId="9" fillId="2" borderId="29" xfId="0" applyFont="1" applyFill="1" applyBorder="1" applyAlignment="1">
      <alignment vertical="center"/>
    </xf>
    <xf numFmtId="0" fontId="9" fillId="2" borderId="31" xfId="0" applyFont="1" applyFill="1" applyBorder="1" applyAlignment="1">
      <alignment horizontal="right" vertical="center"/>
    </xf>
    <xf numFmtId="0" fontId="9" fillId="2" borderId="32" xfId="0" applyFont="1" applyFill="1" applyBorder="1" applyAlignment="1">
      <alignment horizontal="right" vertical="center"/>
    </xf>
    <xf numFmtId="0" fontId="3" fillId="9" borderId="32" xfId="0" applyFont="1" applyFill="1" applyBorder="1" applyAlignment="1">
      <alignment horizontal="centerContinuous" vertical="center" wrapText="1"/>
    </xf>
    <xf numFmtId="0" fontId="3" fillId="9" borderId="22" xfId="0" applyFont="1" applyFill="1" applyBorder="1" applyAlignment="1">
      <alignment horizontal="centerContinuous" vertical="center" wrapText="1"/>
    </xf>
    <xf numFmtId="0" fontId="3" fillId="9" borderId="31" xfId="0" applyFont="1" applyFill="1" applyBorder="1" applyAlignment="1">
      <alignment horizontal="centerContinuous" vertical="center" wrapText="1"/>
    </xf>
    <xf numFmtId="0" fontId="0" fillId="9" borderId="32" xfId="0" applyFill="1" applyBorder="1" applyAlignment="1">
      <alignment horizontal="centerContinuous" vertical="center" wrapText="1"/>
    </xf>
    <xf numFmtId="0" fontId="0" fillId="9" borderId="31" xfId="0" applyFill="1" applyBorder="1" applyAlignment="1">
      <alignment horizontal="centerContinuous" vertical="center" wrapText="1"/>
    </xf>
    <xf numFmtId="0" fontId="0" fillId="2" borderId="28" xfId="0" applyFill="1" applyBorder="1" applyAlignment="1">
      <alignment vertical="center"/>
    </xf>
    <xf numFmtId="164" fontId="12" fillId="2" borderId="1" xfId="3" applyNumberFormat="1" applyFont="1" applyFill="1" applyBorder="1" applyAlignment="1" applyProtection="1">
      <alignment vertical="center"/>
    </xf>
    <xf numFmtId="164" fontId="12" fillId="2" borderId="2" xfId="3" applyNumberFormat="1" applyFont="1" applyFill="1" applyBorder="1" applyAlignment="1" applyProtection="1">
      <alignment vertical="center"/>
    </xf>
    <xf numFmtId="164" fontId="12" fillId="2" borderId="3" xfId="3" applyNumberFormat="1" applyFont="1" applyFill="1" applyBorder="1" applyAlignment="1" applyProtection="1">
      <alignment vertical="center"/>
    </xf>
    <xf numFmtId="9" fontId="3" fillId="0" borderId="32" xfId="0" applyNumberFormat="1" applyFont="1" applyBorder="1" applyAlignment="1">
      <alignment horizontal="centerContinuous" vertical="center"/>
    </xf>
    <xf numFmtId="9" fontId="3" fillId="0" borderId="31" xfId="0" applyNumberFormat="1" applyFont="1" applyBorder="1" applyAlignment="1">
      <alignment horizontal="centerContinuous" vertical="center"/>
    </xf>
    <xf numFmtId="166" fontId="15" fillId="0" borderId="32" xfId="0" applyNumberFormat="1" applyFont="1" applyBorder="1" applyAlignment="1">
      <alignment horizontal="centerContinuous" vertical="center"/>
    </xf>
    <xf numFmtId="166" fontId="15" fillId="0" borderId="31" xfId="0" applyNumberFormat="1" applyFont="1" applyBorder="1" applyAlignment="1">
      <alignment horizontal="centerContinuous" vertical="center"/>
    </xf>
    <xf numFmtId="0" fontId="9" fillId="11" borderId="22" xfId="0" applyFont="1" applyFill="1" applyBorder="1" applyAlignment="1">
      <alignment vertical="center"/>
    </xf>
    <xf numFmtId="0" fontId="9" fillId="11" borderId="31" xfId="0" applyFont="1" applyFill="1" applyBorder="1" applyAlignment="1">
      <alignment vertical="center"/>
    </xf>
    <xf numFmtId="0" fontId="19" fillId="11" borderId="31" xfId="0" applyFont="1" applyFill="1" applyBorder="1" applyAlignment="1">
      <alignment horizontal="right" vertical="center"/>
    </xf>
    <xf numFmtId="0" fontId="3" fillId="2" borderId="6" xfId="0" applyFont="1" applyFill="1" applyBorder="1" applyAlignment="1">
      <alignment vertical="center" wrapText="1"/>
    </xf>
    <xf numFmtId="164" fontId="12" fillId="2" borderId="0" xfId="3" applyNumberFormat="1" applyFont="1" applyFill="1" applyBorder="1" applyAlignment="1" applyProtection="1">
      <alignment vertical="center"/>
    </xf>
    <xf numFmtId="164" fontId="12" fillId="2" borderId="6" xfId="3" applyNumberFormat="1" applyFont="1" applyFill="1" applyBorder="1" applyAlignment="1" applyProtection="1">
      <alignment vertical="center"/>
    </xf>
    <xf numFmtId="0" fontId="15" fillId="9" borderId="31" xfId="0" applyFont="1" applyFill="1" applyBorder="1" applyAlignment="1" applyProtection="1">
      <alignment horizontal="center" vertical="center"/>
      <protection locked="0"/>
    </xf>
    <xf numFmtId="0" fontId="19" fillId="11" borderId="23" xfId="0" applyFont="1" applyFill="1" applyBorder="1" applyAlignment="1">
      <alignment horizontal="centerContinuous" vertical="center"/>
    </xf>
    <xf numFmtId="0" fontId="19" fillId="11" borderId="22" xfId="0" applyFont="1" applyFill="1" applyBorder="1" applyAlignment="1">
      <alignment horizontal="left" vertical="center"/>
    </xf>
    <xf numFmtId="0" fontId="19" fillId="11" borderId="37" xfId="0" applyFont="1" applyFill="1" applyBorder="1" applyAlignment="1">
      <alignment horizontal="right" vertical="center"/>
    </xf>
    <xf numFmtId="0" fontId="19" fillId="11" borderId="35" xfId="0" applyFont="1" applyFill="1" applyBorder="1" applyAlignment="1">
      <alignment horizontal="right" vertical="center"/>
    </xf>
    <xf numFmtId="0" fontId="19" fillId="11" borderId="36" xfId="0" applyFont="1" applyFill="1" applyBorder="1" applyAlignment="1">
      <alignment horizontal="left" vertical="center" wrapText="1"/>
    </xf>
    <xf numFmtId="0" fontId="3" fillId="2" borderId="28" xfId="0" applyFont="1" applyFill="1" applyBorder="1" applyAlignment="1">
      <alignment horizontal="right" vertical="center"/>
    </xf>
    <xf numFmtId="0" fontId="3" fillId="2" borderId="30" xfId="0" applyFont="1" applyFill="1" applyBorder="1" applyAlignment="1">
      <alignment horizontal="right" vertical="center"/>
    </xf>
    <xf numFmtId="0" fontId="16" fillId="2" borderId="30" xfId="0" applyFont="1" applyFill="1" applyBorder="1" applyAlignment="1">
      <alignment horizontal="right" vertical="center" wrapText="1"/>
    </xf>
    <xf numFmtId="0" fontId="0" fillId="2" borderId="35" xfId="0" applyFill="1" applyBorder="1" applyAlignment="1">
      <alignment vertical="center"/>
    </xf>
    <xf numFmtId="0" fontId="32" fillId="2" borderId="26" xfId="0" applyFont="1" applyFill="1" applyBorder="1" applyAlignment="1">
      <alignment horizontal="centerContinuous" vertical="center" wrapText="1"/>
    </xf>
    <xf numFmtId="0" fontId="32" fillId="2" borderId="28" xfId="0" applyFont="1" applyFill="1" applyBorder="1" applyAlignment="1">
      <alignment horizontal="centerContinuous" vertical="center" wrapText="1"/>
    </xf>
    <xf numFmtId="0" fontId="0" fillId="2" borderId="29" xfId="0" applyFill="1" applyBorder="1" applyAlignment="1">
      <alignment horizontal="left" vertical="center"/>
    </xf>
    <xf numFmtId="0" fontId="0" fillId="2" borderId="34" xfId="0" applyFill="1" applyBorder="1" applyAlignment="1">
      <alignment horizontal="left" vertical="center"/>
    </xf>
    <xf numFmtId="0" fontId="28" fillId="0" borderId="12" xfId="0" applyFont="1" applyBorder="1" applyAlignment="1">
      <alignment horizontal="centerContinuous" vertical="center"/>
    </xf>
    <xf numFmtId="0" fontId="28" fillId="0" borderId="20" xfId="0" applyFont="1" applyBorder="1" applyAlignment="1">
      <alignment horizontal="centerContinuous" vertical="center"/>
    </xf>
    <xf numFmtId="0" fontId="40" fillId="0" borderId="39" xfId="0" applyFont="1" applyBorder="1" applyAlignment="1">
      <alignment horizontal="center" vertical="center" wrapText="1"/>
    </xf>
    <xf numFmtId="0" fontId="40" fillId="0" borderId="33" xfId="0" applyFont="1" applyBorder="1" applyAlignment="1">
      <alignment horizontal="center" vertical="center" wrapText="1"/>
    </xf>
    <xf numFmtId="2" fontId="40" fillId="0" borderId="33" xfId="0" applyNumberFormat="1" applyFont="1" applyBorder="1" applyAlignment="1">
      <alignment horizontal="center" vertical="center" wrapText="1"/>
    </xf>
    <xf numFmtId="0" fontId="40" fillId="0" borderId="33" xfId="0" applyFont="1" applyBorder="1" applyAlignment="1" applyProtection="1">
      <alignment horizontal="center" vertical="center" wrapText="1"/>
      <protection locked="0"/>
    </xf>
    <xf numFmtId="0" fontId="40" fillId="0" borderId="33" xfId="0" applyFont="1" applyBorder="1" applyAlignment="1">
      <alignment horizontal="center" vertical="center"/>
    </xf>
    <xf numFmtId="1" fontId="40" fillId="0" borderId="40" xfId="0" applyNumberFormat="1" applyFont="1" applyBorder="1" applyAlignment="1">
      <alignment horizontal="center" vertical="center"/>
    </xf>
    <xf numFmtId="0" fontId="9" fillId="11" borderId="36" xfId="0" applyFont="1" applyFill="1" applyBorder="1" applyAlignment="1">
      <alignment horizontal="left" vertical="center"/>
    </xf>
    <xf numFmtId="0" fontId="0" fillId="2" borderId="26" xfId="0" applyFill="1" applyBorder="1" applyAlignment="1">
      <alignment horizontal="left" vertical="top"/>
    </xf>
    <xf numFmtId="0" fontId="0" fillId="2" borderId="27" xfId="0" applyFill="1" applyBorder="1" applyAlignment="1">
      <alignment horizontal="centerContinuous" vertical="center" wrapText="1"/>
    </xf>
    <xf numFmtId="0" fontId="0" fillId="2" borderId="28" xfId="0" applyFill="1" applyBorder="1" applyAlignment="1">
      <alignment horizontal="centerContinuous" vertical="center" wrapText="1"/>
    </xf>
    <xf numFmtId="0" fontId="34" fillId="2" borderId="30" xfId="0" applyFont="1" applyFill="1" applyBorder="1" applyAlignment="1">
      <alignment horizontal="centerContinuous" vertical="center" wrapText="1"/>
    </xf>
    <xf numFmtId="0" fontId="10" fillId="2" borderId="23" xfId="0" applyFont="1" applyFill="1" applyBorder="1" applyAlignment="1">
      <alignment horizontal="centerContinuous" vertical="center" wrapText="1"/>
    </xf>
    <xf numFmtId="0" fontId="34" fillId="2" borderId="23" xfId="0" applyFont="1" applyFill="1" applyBorder="1" applyAlignment="1">
      <alignment horizontal="centerContinuous" vertical="center" wrapText="1"/>
    </xf>
    <xf numFmtId="0" fontId="34" fillId="2" borderId="35" xfId="0" applyFont="1" applyFill="1" applyBorder="1" applyAlignment="1">
      <alignment horizontal="centerContinuous" vertical="center" wrapText="1"/>
    </xf>
    <xf numFmtId="0" fontId="0" fillId="2" borderId="26" xfId="0" applyFill="1" applyBorder="1" applyAlignment="1">
      <alignment horizontal="centerContinuous" vertical="center" wrapText="1"/>
    </xf>
    <xf numFmtId="0" fontId="10" fillId="2" borderId="30" xfId="0" applyFont="1" applyFill="1" applyBorder="1" applyAlignment="1">
      <alignment horizontal="centerContinuous" vertical="center" wrapText="1"/>
    </xf>
    <xf numFmtId="0" fontId="10" fillId="2" borderId="29" xfId="0" applyFont="1" applyFill="1" applyBorder="1" applyAlignment="1">
      <alignment horizontal="centerContinuous" vertical="center" wrapText="1"/>
    </xf>
    <xf numFmtId="0" fontId="10" fillId="2" borderId="35" xfId="0" applyFont="1" applyFill="1" applyBorder="1" applyAlignment="1">
      <alignment horizontal="centerContinuous" vertical="center" wrapText="1"/>
    </xf>
    <xf numFmtId="0" fontId="10" fillId="2" borderId="34" xfId="0" applyFont="1" applyFill="1" applyBorder="1" applyAlignment="1">
      <alignment horizontal="centerContinuous" vertical="center" wrapText="1"/>
    </xf>
    <xf numFmtId="0" fontId="9" fillId="11" borderId="33" xfId="0" applyFont="1" applyFill="1" applyBorder="1" applyAlignment="1">
      <alignment horizontal="centerContinuous" vertical="center"/>
    </xf>
    <xf numFmtId="0" fontId="0" fillId="0" borderId="1" xfId="0" applyBorder="1"/>
    <xf numFmtId="0" fontId="0" fillId="2" borderId="9" xfId="0" applyFill="1" applyBorder="1" applyAlignment="1">
      <alignment horizontal="centerContinuous"/>
    </xf>
    <xf numFmtId="0" fontId="0" fillId="2" borderId="11" xfId="0" applyFill="1" applyBorder="1" applyAlignment="1">
      <alignment horizontal="center"/>
    </xf>
    <xf numFmtId="0" fontId="3" fillId="0" borderId="0" xfId="0" applyFont="1" applyAlignment="1">
      <alignment horizontal="center" vertical="center"/>
    </xf>
    <xf numFmtId="166" fontId="15" fillId="0" borderId="0" xfId="0" applyNumberFormat="1" applyFont="1" applyAlignment="1">
      <alignment horizontal="centerContinuous" vertical="center"/>
    </xf>
    <xf numFmtId="0" fontId="0" fillId="2" borderId="26" xfId="0" applyFill="1" applyBorder="1"/>
    <xf numFmtId="0" fontId="0" fillId="2" borderId="28" xfId="0" applyFill="1" applyBorder="1"/>
    <xf numFmtId="0" fontId="0" fillId="8" borderId="27" xfId="0" applyFill="1" applyBorder="1" applyAlignment="1">
      <alignment horizontal="centerContinuous"/>
    </xf>
    <xf numFmtId="0" fontId="0" fillId="8" borderId="28" xfId="0" applyFill="1" applyBorder="1" applyAlignment="1">
      <alignment horizontal="centerContinuous"/>
    </xf>
    <xf numFmtId="0" fontId="9" fillId="2" borderId="0" xfId="0" applyFont="1" applyFill="1" applyAlignment="1">
      <alignment horizontal="right" vertical="center"/>
    </xf>
    <xf numFmtId="0" fontId="0" fillId="2" borderId="0" xfId="0" applyFill="1" applyAlignment="1">
      <alignment vertical="center"/>
    </xf>
    <xf numFmtId="0" fontId="10" fillId="2" borderId="0" xfId="0" applyFont="1" applyFill="1" applyAlignment="1">
      <alignment horizontal="centerContinuous" vertical="center" wrapText="1"/>
    </xf>
    <xf numFmtId="0" fontId="34" fillId="2" borderId="0" xfId="0" applyFont="1" applyFill="1" applyAlignment="1">
      <alignment horizontal="centerContinuous" vertical="center" wrapText="1"/>
    </xf>
    <xf numFmtId="0" fontId="0" fillId="2" borderId="0" xfId="0" applyFill="1" applyAlignment="1">
      <alignment horizontal="left" vertical="center" wrapText="1"/>
    </xf>
    <xf numFmtId="0" fontId="24" fillId="2" borderId="0" xfId="0" applyFont="1" applyFill="1" applyAlignment="1">
      <alignment vertical="center"/>
    </xf>
    <xf numFmtId="0" fontId="3" fillId="2" borderId="0" xfId="0" applyFont="1" applyFill="1" applyAlignment="1">
      <alignment horizontal="center" vertical="center"/>
    </xf>
    <xf numFmtId="0" fontId="11" fillId="2" borderId="0" xfId="0" applyFont="1" applyFill="1" applyAlignment="1">
      <alignment horizontal="left" vertical="center"/>
    </xf>
    <xf numFmtId="0" fontId="11" fillId="2" borderId="0" xfId="0" applyFont="1" applyFill="1" applyAlignment="1">
      <alignment horizontal="centerContinuous" vertical="center"/>
    </xf>
    <xf numFmtId="0" fontId="3" fillId="2" borderId="0" xfId="0" applyFont="1" applyFill="1" applyAlignment="1">
      <alignment horizontal="left" vertical="center"/>
    </xf>
    <xf numFmtId="0" fontId="3" fillId="2" borderId="0" xfId="0" applyFont="1" applyFill="1" applyAlignment="1">
      <alignment horizontal="centerContinuous" vertical="center" wrapText="1"/>
    </xf>
    <xf numFmtId="0" fontId="9" fillId="2" borderId="0" xfId="0" applyFont="1" applyFill="1" applyAlignment="1">
      <alignment horizontal="centerContinuous" vertical="center"/>
    </xf>
    <xf numFmtId="0" fontId="9" fillId="2" borderId="0" xfId="0" applyFont="1" applyFill="1" applyAlignment="1">
      <alignment horizontal="centerContinuous" vertical="center" wrapText="1"/>
    </xf>
    <xf numFmtId="0" fontId="25" fillId="2" borderId="0" xfId="0" applyFont="1" applyFill="1" applyAlignment="1">
      <alignment vertical="center"/>
    </xf>
    <xf numFmtId="0" fontId="26" fillId="2" borderId="0" xfId="0" applyFont="1" applyFill="1" applyAlignment="1">
      <alignment horizontal="centerContinuous" vertical="center"/>
    </xf>
    <xf numFmtId="0" fontId="26" fillId="2" borderId="0" xfId="0" applyFont="1" applyFill="1" applyAlignment="1">
      <alignment horizontal="left" vertical="center"/>
    </xf>
    <xf numFmtId="0" fontId="3" fillId="2" borderId="0" xfId="0" applyFont="1" applyFill="1" applyAlignment="1">
      <alignment horizontal="centerContinuous" vertical="center"/>
    </xf>
    <xf numFmtId="0" fontId="3" fillId="0" borderId="0" xfId="0" applyFont="1" applyAlignment="1">
      <alignment vertical="center"/>
    </xf>
    <xf numFmtId="0" fontId="0" fillId="2" borderId="29" xfId="0" applyFill="1" applyBorder="1"/>
    <xf numFmtId="0" fontId="29" fillId="2" borderId="8" xfId="0" applyFont="1" applyFill="1" applyBorder="1" applyAlignment="1">
      <alignment horizontal="centerContinuous" wrapText="1"/>
    </xf>
    <xf numFmtId="0" fontId="29" fillId="2" borderId="1" xfId="0" applyFont="1" applyFill="1" applyBorder="1" applyAlignment="1">
      <alignment horizontal="centerContinuous"/>
    </xf>
    <xf numFmtId="0" fontId="29" fillId="2" borderId="2" xfId="0" applyFont="1" applyFill="1" applyBorder="1" applyAlignment="1">
      <alignment horizontal="centerContinuous"/>
    </xf>
    <xf numFmtId="0" fontId="29" fillId="2" borderId="1" xfId="0" applyFont="1" applyFill="1" applyBorder="1" applyAlignment="1">
      <alignment horizontal="right" wrapText="1"/>
    </xf>
    <xf numFmtId="0" fontId="16" fillId="2" borderId="8" xfId="0" applyFont="1" applyFill="1" applyBorder="1" applyAlignment="1">
      <alignment horizontal="right" wrapText="1"/>
    </xf>
    <xf numFmtId="0" fontId="7" fillId="2" borderId="22" xfId="0" applyFont="1" applyFill="1" applyBorder="1" applyAlignment="1">
      <alignment wrapText="1"/>
    </xf>
    <xf numFmtId="0" fontId="8" fillId="2" borderId="22" xfId="0" applyFont="1" applyFill="1" applyBorder="1" applyAlignment="1">
      <alignment horizontal="left" wrapText="1"/>
    </xf>
    <xf numFmtId="0" fontId="16" fillId="0" borderId="22" xfId="0" applyFont="1" applyBorder="1" applyAlignment="1">
      <alignment wrapText="1"/>
    </xf>
    <xf numFmtId="0" fontId="16" fillId="0" borderId="27" xfId="0" applyFont="1" applyBorder="1" applyAlignment="1">
      <alignment wrapText="1"/>
    </xf>
    <xf numFmtId="0" fontId="9" fillId="2" borderId="0" xfId="0" applyFont="1" applyFill="1" applyAlignment="1">
      <alignment horizontal="right"/>
    </xf>
    <xf numFmtId="0" fontId="16" fillId="11" borderId="1" xfId="0" applyFont="1" applyFill="1" applyBorder="1" applyAlignment="1">
      <alignment horizontal="center" vertical="center" wrapText="1"/>
    </xf>
    <xf numFmtId="0" fontId="16" fillId="11" borderId="5" xfId="0" applyFont="1" applyFill="1" applyBorder="1" applyAlignment="1">
      <alignment horizontal="center" vertical="center" wrapText="1"/>
    </xf>
    <xf numFmtId="0" fontId="16" fillId="11" borderId="3" xfId="0" applyFont="1" applyFill="1" applyBorder="1" applyAlignment="1">
      <alignment horizontal="center" vertical="center" wrapText="1"/>
    </xf>
    <xf numFmtId="0" fontId="16" fillId="2" borderId="4" xfId="0" applyFont="1" applyFill="1" applyBorder="1" applyAlignment="1">
      <alignment horizontal="left" wrapText="1"/>
    </xf>
    <xf numFmtId="0" fontId="0" fillId="2" borderId="0" xfId="0" applyFill="1" applyAlignment="1">
      <alignment horizontal="right" vertical="center" wrapText="1"/>
    </xf>
    <xf numFmtId="0" fontId="0" fillId="2" borderId="0" xfId="0" applyFill="1" applyAlignment="1">
      <alignment horizontal="center"/>
    </xf>
    <xf numFmtId="0" fontId="30" fillId="2" borderId="5" xfId="0" applyFont="1" applyFill="1" applyBorder="1"/>
    <xf numFmtId="0" fontId="36" fillId="2" borderId="0" xfId="0" applyFont="1" applyFill="1"/>
    <xf numFmtId="0" fontId="22" fillId="2" borderId="0" xfId="0" applyFont="1" applyFill="1" applyAlignment="1">
      <alignment horizontal="left"/>
    </xf>
    <xf numFmtId="0" fontId="37" fillId="2" borderId="12" xfId="0" applyFont="1" applyFill="1" applyBorder="1"/>
    <xf numFmtId="0" fontId="0" fillId="2" borderId="20" xfId="0" applyFill="1" applyBorder="1" applyAlignment="1">
      <alignment horizontal="right" vertical="center" wrapText="1"/>
    </xf>
    <xf numFmtId="0" fontId="0" fillId="2" borderId="20" xfId="0" applyFill="1" applyBorder="1"/>
    <xf numFmtId="0" fontId="11" fillId="2" borderId="14" xfId="0" applyFont="1" applyFill="1" applyBorder="1" applyAlignment="1">
      <alignment vertical="center"/>
    </xf>
    <xf numFmtId="0" fontId="0" fillId="2" borderId="0" xfId="0" applyFill="1" applyAlignment="1">
      <alignment wrapText="1"/>
    </xf>
    <xf numFmtId="0" fontId="19" fillId="2" borderId="4" xfId="0" applyFont="1" applyFill="1" applyBorder="1" applyAlignment="1">
      <alignment horizontal="center"/>
    </xf>
    <xf numFmtId="0" fontId="15" fillId="2" borderId="0" xfId="0" applyFont="1" applyFill="1" applyAlignment="1">
      <alignment horizontal="center"/>
    </xf>
    <xf numFmtId="0" fontId="19" fillId="11" borderId="7" xfId="0" applyFont="1" applyFill="1" applyBorder="1" applyAlignment="1">
      <alignment horizontal="center"/>
    </xf>
    <xf numFmtId="0" fontId="19" fillId="11" borderId="0" xfId="0" applyFont="1" applyFill="1" applyAlignment="1">
      <alignment horizontal="center"/>
    </xf>
    <xf numFmtId="0" fontId="19" fillId="11" borderId="5" xfId="0" applyFont="1" applyFill="1" applyBorder="1" applyAlignment="1">
      <alignment horizontal="center"/>
    </xf>
    <xf numFmtId="165" fontId="15" fillId="0" borderId="33" xfId="1" applyNumberFormat="1" applyFont="1" applyFill="1" applyBorder="1" applyAlignment="1">
      <alignment horizontal="center"/>
    </xf>
    <xf numFmtId="165" fontId="3" fillId="0" borderId="33" xfId="1" applyNumberFormat="1" applyFont="1" applyBorder="1"/>
    <xf numFmtId="0" fontId="19" fillId="2" borderId="46" xfId="0" applyFont="1" applyFill="1" applyBorder="1" applyAlignment="1">
      <alignment horizontal="center"/>
    </xf>
    <xf numFmtId="165" fontId="15" fillId="0" borderId="47" xfId="1" applyNumberFormat="1" applyFont="1" applyFill="1" applyBorder="1" applyAlignment="1">
      <alignment horizontal="center"/>
    </xf>
    <xf numFmtId="165" fontId="3" fillId="0" borderId="47" xfId="1" applyNumberFormat="1" applyFont="1" applyBorder="1"/>
    <xf numFmtId="0" fontId="19" fillId="2" borderId="39" xfId="0" applyFont="1" applyFill="1" applyBorder="1" applyAlignment="1">
      <alignment horizontal="center"/>
    </xf>
    <xf numFmtId="0" fontId="19" fillId="2" borderId="49" xfId="0" applyFont="1" applyFill="1" applyBorder="1" applyAlignment="1">
      <alignment horizontal="center"/>
    </xf>
    <xf numFmtId="165" fontId="15" fillId="0" borderId="50" xfId="1" applyNumberFormat="1" applyFont="1" applyFill="1" applyBorder="1" applyAlignment="1">
      <alignment horizontal="center"/>
    </xf>
    <xf numFmtId="165" fontId="3" fillId="0" borderId="50" xfId="1" applyNumberFormat="1" applyFont="1" applyBorder="1"/>
    <xf numFmtId="165" fontId="15" fillId="2" borderId="0" xfId="1" applyNumberFormat="1" applyFont="1" applyFill="1" applyBorder="1" applyAlignment="1">
      <alignment horizontal="center"/>
    </xf>
    <xf numFmtId="165" fontId="0" fillId="2" borderId="0" xfId="1" applyNumberFormat="1" applyFont="1" applyFill="1" applyBorder="1"/>
    <xf numFmtId="0" fontId="7" fillId="2" borderId="0" xfId="0" applyFont="1" applyFill="1"/>
    <xf numFmtId="165" fontId="15" fillId="2" borderId="50" xfId="1" applyNumberFormat="1" applyFont="1" applyFill="1" applyBorder="1" applyAlignment="1">
      <alignment horizontal="center"/>
    </xf>
    <xf numFmtId="0" fontId="14" fillId="2" borderId="0" xfId="0" applyFont="1" applyFill="1" applyAlignment="1">
      <alignment horizontal="center"/>
    </xf>
    <xf numFmtId="44" fontId="14" fillId="2" borderId="0" xfId="1" applyFont="1" applyFill="1" applyBorder="1" applyAlignment="1">
      <alignment horizontal="center"/>
    </xf>
    <xf numFmtId="0" fontId="2" fillId="2" borderId="0" xfId="0" applyFont="1" applyFill="1"/>
    <xf numFmtId="0" fontId="7" fillId="2" borderId="6" xfId="0" applyFont="1" applyFill="1" applyBorder="1"/>
    <xf numFmtId="0" fontId="14" fillId="2" borderId="0" xfId="0" applyFont="1" applyFill="1"/>
    <xf numFmtId="0" fontId="16" fillId="2" borderId="0" xfId="0" applyFont="1" applyFill="1" applyAlignment="1">
      <alignment horizontal="center"/>
    </xf>
    <xf numFmtId="164" fontId="16" fillId="2" borderId="0" xfId="0" applyNumberFormat="1" applyFont="1" applyFill="1" applyAlignment="1">
      <alignment horizontal="center"/>
    </xf>
    <xf numFmtId="0" fontId="6" fillId="2" borderId="0" xfId="0" applyFont="1" applyFill="1" applyAlignment="1">
      <alignment horizontal="center"/>
    </xf>
    <xf numFmtId="44" fontId="6" fillId="2" borderId="0" xfId="1" applyFont="1" applyFill="1" applyBorder="1" applyAlignment="1">
      <alignment horizontal="center"/>
    </xf>
    <xf numFmtId="0" fontId="3" fillId="2" borderId="0" xfId="0" applyFont="1" applyFill="1"/>
    <xf numFmtId="0" fontId="18" fillId="2" borderId="0" xfId="0" applyFont="1" applyFill="1"/>
    <xf numFmtId="0" fontId="17" fillId="2" borderId="0" xfId="0" applyFont="1" applyFill="1"/>
    <xf numFmtId="0" fontId="7" fillId="2" borderId="11" xfId="0" applyFont="1" applyFill="1" applyBorder="1"/>
    <xf numFmtId="0" fontId="7" fillId="2" borderId="0" xfId="0" applyFont="1" applyFill="1" applyAlignment="1">
      <alignment wrapText="1"/>
    </xf>
    <xf numFmtId="44" fontId="3" fillId="2" borderId="0" xfId="1" applyFont="1" applyFill="1" applyBorder="1"/>
    <xf numFmtId="44" fontId="3" fillId="2" borderId="0" xfId="1" applyFont="1" applyFill="1" applyBorder="1" applyAlignment="1">
      <alignment horizontal="center"/>
    </xf>
    <xf numFmtId="0" fontId="3" fillId="2" borderId="0" xfId="0" applyFont="1" applyFill="1" applyAlignment="1">
      <alignment horizontal="center"/>
    </xf>
    <xf numFmtId="0" fontId="3" fillId="2" borderId="0" xfId="0" applyFont="1" applyFill="1" applyAlignment="1">
      <alignment horizontal="left" vertical="top"/>
    </xf>
    <xf numFmtId="0" fontId="3" fillId="2" borderId="0" xfId="0" applyFont="1" applyFill="1" applyAlignment="1">
      <alignment horizontal="center" vertical="top"/>
    </xf>
    <xf numFmtId="0" fontId="3" fillId="2" borderId="0" xfId="0" applyFont="1" applyFill="1" applyAlignment="1" applyProtection="1">
      <alignment horizontal="left" vertical="top"/>
      <protection locked="0"/>
    </xf>
    <xf numFmtId="0" fontId="3" fillId="2" borderId="0" xfId="0" applyFont="1" applyFill="1" applyAlignment="1" applyProtection="1">
      <alignment horizontal="center" vertical="top"/>
      <protection locked="0"/>
    </xf>
    <xf numFmtId="0" fontId="0" fillId="2" borderId="11" xfId="0" applyFill="1" applyBorder="1" applyAlignment="1">
      <alignment wrapText="1"/>
    </xf>
    <xf numFmtId="165" fontId="3" fillId="0" borderId="48" xfId="1" applyNumberFormat="1" applyFont="1" applyBorder="1"/>
    <xf numFmtId="165" fontId="3" fillId="0" borderId="40" xfId="1" applyNumberFormat="1" applyFont="1" applyBorder="1"/>
    <xf numFmtId="165" fontId="3" fillId="0" borderId="51" xfId="1" applyNumberFormat="1" applyFont="1" applyBorder="1"/>
    <xf numFmtId="165" fontId="15" fillId="0" borderId="48" xfId="1" applyNumberFormat="1" applyFont="1" applyFill="1" applyBorder="1" applyAlignment="1">
      <alignment horizontal="center"/>
    </xf>
    <xf numFmtId="0" fontId="3" fillId="2" borderId="11" xfId="0" applyFont="1" applyFill="1" applyBorder="1" applyAlignment="1" applyProtection="1">
      <alignment horizontal="left" vertical="top"/>
      <protection locked="0"/>
    </xf>
    <xf numFmtId="0" fontId="3" fillId="2" borderId="11" xfId="0" applyFont="1" applyFill="1" applyBorder="1" applyAlignment="1" applyProtection="1">
      <alignment horizontal="center" vertical="top"/>
      <protection locked="0"/>
    </xf>
    <xf numFmtId="0" fontId="19" fillId="2" borderId="43" xfId="0" applyFont="1" applyFill="1" applyBorder="1" applyAlignment="1">
      <alignment horizontal="centerContinuous"/>
    </xf>
    <xf numFmtId="165" fontId="15" fillId="0" borderId="51" xfId="1" applyNumberFormat="1" applyFont="1" applyFill="1" applyBorder="1" applyAlignment="1">
      <alignment horizontal="center"/>
    </xf>
    <xf numFmtId="0" fontId="0" fillId="2" borderId="14" xfId="0" applyFill="1" applyBorder="1"/>
    <xf numFmtId="0" fontId="0" fillId="2" borderId="3" xfId="0" applyFill="1" applyBorder="1" applyAlignment="1">
      <alignment horizontal="centerContinuous"/>
    </xf>
    <xf numFmtId="0" fontId="5" fillId="2" borderId="0" xfId="0" applyFont="1" applyFill="1"/>
    <xf numFmtId="0" fontId="5" fillId="2" borderId="6" xfId="0" applyFont="1" applyFill="1" applyBorder="1"/>
    <xf numFmtId="0" fontId="5" fillId="0" borderId="4" xfId="0" applyFont="1" applyBorder="1" applyAlignment="1">
      <alignment horizontal="center" vertical="center" wrapText="1"/>
    </xf>
    <xf numFmtId="0" fontId="19" fillId="0" borderId="44" xfId="0" applyFont="1" applyBorder="1" applyAlignment="1">
      <alignment horizontal="right"/>
    </xf>
    <xf numFmtId="44" fontId="15" fillId="0" borderId="53" xfId="1" applyFont="1" applyFill="1" applyBorder="1" applyAlignment="1">
      <alignment horizontal="center"/>
    </xf>
    <xf numFmtId="44" fontId="15" fillId="2" borderId="54" xfId="1" applyFont="1" applyFill="1" applyBorder="1" applyAlignment="1">
      <alignment horizontal="center"/>
    </xf>
    <xf numFmtId="0" fontId="19" fillId="0" borderId="18" xfId="0" applyFont="1" applyBorder="1" applyAlignment="1">
      <alignment horizontal="right"/>
    </xf>
    <xf numFmtId="0" fontId="9" fillId="2" borderId="18" xfId="0" applyFont="1" applyFill="1" applyBorder="1" applyAlignment="1">
      <alignment horizontal="left"/>
    </xf>
    <xf numFmtId="0" fontId="9" fillId="2" borderId="8" xfId="0" applyFont="1" applyFill="1" applyBorder="1"/>
    <xf numFmtId="0" fontId="19" fillId="2" borderId="45" xfId="0" applyFont="1" applyFill="1" applyBorder="1" applyAlignment="1">
      <alignment horizontal="centerContinuous"/>
    </xf>
    <xf numFmtId="0" fontId="2" fillId="13" borderId="42" xfId="0" applyFont="1" applyFill="1" applyBorder="1" applyAlignment="1">
      <alignment horizontal="centerContinuous" vertical="center"/>
    </xf>
    <xf numFmtId="0" fontId="2" fillId="13" borderId="53" xfId="0" applyFont="1" applyFill="1" applyBorder="1" applyAlignment="1">
      <alignment horizontal="right" vertical="center"/>
    </xf>
    <xf numFmtId="0" fontId="43" fillId="13" borderId="1" xfId="0" applyFont="1" applyFill="1" applyBorder="1" applyAlignment="1">
      <alignment horizontal="centerContinuous" vertical="center"/>
    </xf>
    <xf numFmtId="0" fontId="44" fillId="13" borderId="2" xfId="0" applyFont="1" applyFill="1" applyBorder="1" applyAlignment="1">
      <alignment horizontal="centerContinuous" vertical="center"/>
    </xf>
    <xf numFmtId="0" fontId="44" fillId="13" borderId="3" xfId="0" applyFont="1" applyFill="1" applyBorder="1" applyAlignment="1">
      <alignment horizontal="centerContinuous" vertical="center"/>
    </xf>
    <xf numFmtId="0" fontId="45" fillId="13" borderId="8" xfId="0" applyFont="1" applyFill="1" applyBorder="1" applyAlignment="1">
      <alignment horizontal="centerContinuous"/>
    </xf>
    <xf numFmtId="0" fontId="44" fillId="13" borderId="11" xfId="0" applyFont="1" applyFill="1" applyBorder="1" applyAlignment="1">
      <alignment horizontal="centerContinuous" vertical="center"/>
    </xf>
    <xf numFmtId="0" fontId="44" fillId="13" borderId="9" xfId="0" applyFont="1" applyFill="1" applyBorder="1" applyAlignment="1">
      <alignment horizontal="centerContinuous" vertical="center"/>
    </xf>
    <xf numFmtId="0" fontId="41" fillId="2" borderId="0" xfId="0" applyFont="1" applyFill="1" applyAlignment="1">
      <alignment horizontal="centerContinuous" vertical="top"/>
    </xf>
    <xf numFmtId="0" fontId="42" fillId="2" borderId="0" xfId="0" applyFont="1" applyFill="1" applyAlignment="1">
      <alignment horizontal="centerContinuous"/>
    </xf>
    <xf numFmtId="0" fontId="42" fillId="2" borderId="0" xfId="0" applyFont="1" applyFill="1" applyAlignment="1">
      <alignment horizontal="centerContinuous" vertical="top"/>
    </xf>
    <xf numFmtId="0" fontId="9" fillId="2" borderId="1" xfId="0" applyFont="1" applyFill="1" applyBorder="1" applyAlignment="1">
      <alignment horizontal="center"/>
    </xf>
    <xf numFmtId="0" fontId="9" fillId="2" borderId="4" xfId="0" applyFont="1" applyFill="1" applyBorder="1" applyAlignment="1">
      <alignment horizontal="center" wrapText="1"/>
    </xf>
    <xf numFmtId="0" fontId="0" fillId="0" borderId="4" xfId="0" applyBorder="1" applyAlignment="1">
      <alignment horizontal="center"/>
    </xf>
    <xf numFmtId="0" fontId="3" fillId="2" borderId="4" xfId="0" applyFont="1" applyFill="1" applyBorder="1" applyAlignment="1">
      <alignment horizontal="center" wrapText="1"/>
    </xf>
    <xf numFmtId="0" fontId="9" fillId="2" borderId="4" xfId="0" applyFont="1" applyFill="1" applyBorder="1" applyAlignment="1">
      <alignment horizontal="center" vertical="top" wrapText="1"/>
    </xf>
    <xf numFmtId="0" fontId="3" fillId="2" borderId="8" xfId="0" applyFont="1" applyFill="1" applyBorder="1" applyAlignment="1">
      <alignment horizontal="center" wrapText="1"/>
    </xf>
    <xf numFmtId="0" fontId="3" fillId="2" borderId="20" xfId="0" applyFont="1" applyFill="1" applyBorder="1" applyAlignment="1">
      <alignment horizontal="right"/>
    </xf>
    <xf numFmtId="0" fontId="3" fillId="2" borderId="2" xfId="0" applyFont="1" applyFill="1" applyBorder="1" applyAlignment="1">
      <alignment horizontal="center"/>
    </xf>
    <xf numFmtId="0" fontId="3" fillId="9" borderId="5" xfId="0" applyFont="1" applyFill="1" applyBorder="1" applyAlignment="1" applyProtection="1">
      <alignment horizontal="right"/>
      <protection locked="0"/>
    </xf>
    <xf numFmtId="14" fontId="3" fillId="9" borderId="5" xfId="0" applyNumberFormat="1" applyFont="1" applyFill="1" applyBorder="1" applyAlignment="1" applyProtection="1">
      <alignment horizontal="center"/>
      <protection locked="0"/>
    </xf>
    <xf numFmtId="0" fontId="3" fillId="2" borderId="0" xfId="0" applyFont="1" applyFill="1" applyAlignment="1" applyProtection="1">
      <alignment horizontal="centerContinuous"/>
      <protection locked="0"/>
    </xf>
    <xf numFmtId="0" fontId="3" fillId="9" borderId="7" xfId="0" applyFont="1" applyFill="1" applyBorder="1" applyAlignment="1" applyProtection="1">
      <alignment horizontal="right"/>
      <protection locked="0"/>
    </xf>
    <xf numFmtId="0" fontId="9" fillId="2" borderId="6" xfId="0" applyFont="1" applyFill="1" applyBorder="1" applyAlignment="1">
      <alignment horizontal="right"/>
    </xf>
    <xf numFmtId="14" fontId="3" fillId="9" borderId="7" xfId="0" applyNumberFormat="1" applyFont="1" applyFill="1" applyBorder="1" applyAlignment="1" applyProtection="1">
      <alignment horizontal="right"/>
      <protection locked="0"/>
    </xf>
    <xf numFmtId="0" fontId="13" fillId="9" borderId="7" xfId="2" applyFill="1" applyBorder="1" applyAlignment="1" applyProtection="1">
      <alignment horizontal="right"/>
      <protection locked="0"/>
    </xf>
    <xf numFmtId="14" fontId="3" fillId="2" borderId="0" xfId="0" applyNumberFormat="1" applyFont="1" applyFill="1" applyAlignment="1" applyProtection="1">
      <alignment horizontal="centerContinuous"/>
      <protection locked="0"/>
    </xf>
    <xf numFmtId="14" fontId="3" fillId="9" borderId="7" xfId="0" applyNumberFormat="1" applyFont="1" applyFill="1" applyBorder="1" applyAlignment="1" applyProtection="1">
      <alignment horizontal="center"/>
      <protection locked="0"/>
    </xf>
    <xf numFmtId="0" fontId="0" fillId="9" borderId="7" xfId="0" applyFill="1" applyBorder="1"/>
    <xf numFmtId="0" fontId="3" fillId="9" borderId="7" xfId="0" applyFont="1" applyFill="1" applyBorder="1" applyAlignment="1" applyProtection="1">
      <alignment horizontal="center"/>
      <protection locked="0"/>
    </xf>
    <xf numFmtId="0" fontId="0" fillId="9" borderId="7" xfId="0" applyFill="1" applyBorder="1" applyProtection="1">
      <protection locked="0"/>
    </xf>
    <xf numFmtId="0" fontId="0" fillId="2" borderId="43" xfId="0" applyFill="1" applyBorder="1" applyAlignment="1">
      <alignment horizontal="centerContinuous"/>
    </xf>
    <xf numFmtId="0" fontId="0" fillId="2" borderId="24" xfId="0" applyFill="1" applyBorder="1" applyAlignment="1">
      <alignment horizontal="centerContinuous"/>
    </xf>
    <xf numFmtId="0" fontId="0" fillId="2" borderId="45" xfId="0" applyFill="1" applyBorder="1" applyAlignment="1">
      <alignment horizontal="centerContinuous"/>
    </xf>
    <xf numFmtId="0" fontId="21" fillId="13" borderId="52" xfId="0" applyFont="1" applyFill="1" applyBorder="1" applyAlignment="1">
      <alignment horizontal="centerContinuous"/>
    </xf>
    <xf numFmtId="0" fontId="16" fillId="11" borderId="2" xfId="0" applyFont="1" applyFill="1" applyBorder="1" applyAlignment="1">
      <alignment horizontal="center" vertical="center" wrapText="1"/>
    </xf>
    <xf numFmtId="0" fontId="7" fillId="2" borderId="42" xfId="0" applyFont="1" applyFill="1" applyBorder="1" applyAlignment="1">
      <alignment horizontal="center" wrapText="1"/>
    </xf>
    <xf numFmtId="0" fontId="7" fillId="0" borderId="22" xfId="0" applyFont="1" applyBorder="1" applyAlignment="1">
      <alignment horizontal="center" wrapText="1"/>
    </xf>
    <xf numFmtId="0" fontId="7" fillId="2" borderId="27" xfId="0" applyFont="1" applyFill="1" applyBorder="1" applyAlignment="1">
      <alignment horizontal="center" wrapText="1"/>
    </xf>
    <xf numFmtId="0" fontId="7" fillId="0" borderId="42" xfId="0" applyFont="1" applyBorder="1" applyAlignment="1">
      <alignment horizontal="center" wrapText="1"/>
    </xf>
    <xf numFmtId="0" fontId="7" fillId="0" borderId="22" xfId="0" applyFont="1" applyBorder="1" applyAlignment="1">
      <alignment wrapText="1"/>
    </xf>
    <xf numFmtId="0" fontId="8" fillId="2" borderId="22" xfId="0" applyFont="1" applyFill="1" applyBorder="1" applyAlignment="1">
      <alignment horizontal="center" wrapText="1"/>
    </xf>
    <xf numFmtId="0" fontId="7" fillId="2" borderId="22" xfId="0" applyFont="1" applyFill="1" applyBorder="1" applyAlignment="1">
      <alignment horizontal="center" wrapText="1"/>
    </xf>
    <xf numFmtId="0" fontId="7" fillId="2" borderId="24" xfId="0" applyFont="1" applyFill="1" applyBorder="1" applyAlignment="1">
      <alignment horizontal="left" wrapText="1"/>
    </xf>
    <xf numFmtId="0" fontId="16" fillId="2" borderId="23" xfId="0" applyFont="1" applyFill="1" applyBorder="1" applyAlignment="1">
      <alignment wrapText="1"/>
    </xf>
    <xf numFmtId="0" fontId="16" fillId="2" borderId="22" xfId="0" applyFont="1" applyFill="1" applyBorder="1" applyAlignment="1">
      <alignment wrapText="1"/>
    </xf>
    <xf numFmtId="0" fontId="7" fillId="0" borderId="42" xfId="0" applyFont="1" applyBorder="1" applyAlignment="1">
      <alignment wrapText="1"/>
    </xf>
    <xf numFmtId="0" fontId="7" fillId="0" borderId="24" xfId="0" applyFont="1" applyBorder="1" applyAlignment="1">
      <alignment horizontal="center" wrapText="1"/>
    </xf>
    <xf numFmtId="0" fontId="16" fillId="0" borderId="42" xfId="0" applyFont="1" applyBorder="1" applyAlignment="1">
      <alignment wrapText="1"/>
    </xf>
    <xf numFmtId="0" fontId="16" fillId="12" borderId="22" xfId="0" applyFont="1" applyFill="1" applyBorder="1" applyAlignment="1">
      <alignment horizontal="left" wrapText="1"/>
    </xf>
    <xf numFmtId="0" fontId="16" fillId="0" borderId="24" xfId="0" applyFont="1" applyBorder="1" applyAlignment="1">
      <alignment wrapText="1"/>
    </xf>
    <xf numFmtId="0" fontId="7" fillId="0" borderId="23" xfId="0" applyFont="1" applyBorder="1" applyAlignment="1">
      <alignment horizontal="left" wrapText="1"/>
    </xf>
    <xf numFmtId="0" fontId="7" fillId="0" borderId="22" xfId="0" applyFont="1" applyBorder="1" applyAlignment="1">
      <alignment horizontal="left" wrapText="1"/>
    </xf>
    <xf numFmtId="0" fontId="7" fillId="0" borderId="24" xfId="0" applyFont="1" applyBorder="1" applyAlignment="1">
      <alignment wrapText="1"/>
    </xf>
    <xf numFmtId="0" fontId="8" fillId="0" borderId="0" xfId="0" applyFont="1" applyAlignment="1" applyProtection="1">
      <alignment wrapText="1"/>
      <protection locked="0"/>
    </xf>
    <xf numFmtId="0" fontId="16" fillId="12" borderId="20" xfId="0" applyFont="1" applyFill="1" applyBorder="1" applyAlignment="1">
      <alignment horizontal="left" wrapText="1"/>
    </xf>
    <xf numFmtId="0" fontId="16" fillId="11" borderId="5" xfId="0" applyFont="1" applyFill="1" applyBorder="1" applyAlignment="1">
      <alignment horizontal="center" vertical="center"/>
    </xf>
    <xf numFmtId="0" fontId="7" fillId="2" borderId="18" xfId="0" applyFont="1" applyFill="1" applyBorder="1"/>
    <xf numFmtId="0" fontId="7" fillId="0" borderId="18" xfId="0" applyFont="1" applyBorder="1" applyAlignment="1">
      <alignment horizontal="left" vertical="center"/>
    </xf>
    <xf numFmtId="0" fontId="7" fillId="0" borderId="16" xfId="0" applyFont="1" applyBorder="1" applyAlignment="1">
      <alignment vertical="top"/>
    </xf>
    <xf numFmtId="0" fontId="8" fillId="2" borderId="16" xfId="0" applyFont="1" applyFill="1" applyBorder="1" applyAlignment="1">
      <alignment horizontal="left"/>
    </xf>
    <xf numFmtId="0" fontId="7" fillId="2" borderId="19" xfId="0" applyFont="1" applyFill="1" applyBorder="1" applyAlignment="1">
      <alignment vertical="center"/>
    </xf>
    <xf numFmtId="0" fontId="7" fillId="2" borderId="7" xfId="0" applyFont="1" applyFill="1" applyBorder="1" applyAlignment="1">
      <alignment vertical="center"/>
    </xf>
    <xf numFmtId="0" fontId="7" fillId="2" borderId="15" xfId="0" applyFont="1" applyFill="1" applyBorder="1" applyAlignment="1">
      <alignment vertical="center"/>
    </xf>
    <xf numFmtId="0" fontId="7" fillId="2" borderId="10" xfId="0" applyFont="1" applyFill="1" applyBorder="1"/>
    <xf numFmtId="0" fontId="7" fillId="0" borderId="15" xfId="0" applyFont="1" applyBorder="1"/>
    <xf numFmtId="0" fontId="7" fillId="0" borderId="19" xfId="0" applyFont="1" applyBorder="1"/>
    <xf numFmtId="0" fontId="7" fillId="0" borderId="16" xfId="0" applyFont="1" applyBorder="1" applyAlignment="1">
      <alignment horizontal="left" vertical="center"/>
    </xf>
    <xf numFmtId="0" fontId="7" fillId="0" borderId="17" xfId="0" applyFont="1" applyBorder="1" applyAlignment="1">
      <alignment horizontal="left" vertical="center"/>
    </xf>
    <xf numFmtId="0" fontId="7" fillId="0" borderId="18" xfId="0" applyFont="1" applyBorder="1"/>
    <xf numFmtId="0" fontId="7" fillId="2" borderId="19" xfId="0" applyFont="1" applyFill="1" applyBorder="1" applyAlignment="1">
      <alignment vertical="top"/>
    </xf>
    <xf numFmtId="0" fontId="7" fillId="0" borderId="10" xfId="0" applyFont="1" applyBorder="1" applyAlignment="1">
      <alignment horizontal="left" vertical="center"/>
    </xf>
    <xf numFmtId="0" fontId="44" fillId="13" borderId="6" xfId="0" applyFont="1" applyFill="1" applyBorder="1" applyAlignment="1">
      <alignment horizontal="centerContinuous" vertical="center"/>
    </xf>
    <xf numFmtId="0" fontId="9" fillId="10" borderId="44" xfId="0" applyFont="1" applyFill="1" applyBorder="1"/>
    <xf numFmtId="0" fontId="9" fillId="0" borderId="0" xfId="0" applyFont="1" applyAlignment="1">
      <alignment horizontal="right"/>
    </xf>
    <xf numFmtId="14" fontId="3" fillId="9" borderId="10" xfId="0" applyNumberFormat="1" applyFont="1" applyFill="1" applyBorder="1" applyAlignment="1" applyProtection="1">
      <alignment horizontal="right"/>
      <protection locked="0"/>
    </xf>
    <xf numFmtId="0" fontId="42" fillId="2" borderId="0" xfId="0" applyFont="1" applyFill="1"/>
    <xf numFmtId="2" fontId="8" fillId="10" borderId="5" xfId="0" applyNumberFormat="1" applyFont="1" applyFill="1" applyBorder="1" applyAlignment="1">
      <alignment horizontal="center"/>
    </xf>
    <xf numFmtId="0" fontId="7" fillId="9" borderId="55" xfId="0" applyFont="1" applyFill="1" applyBorder="1" applyAlignment="1" applyProtection="1">
      <alignment horizontal="center"/>
      <protection locked="0"/>
    </xf>
    <xf numFmtId="0" fontId="7" fillId="9" borderId="56" xfId="0" applyFont="1" applyFill="1" applyBorder="1" applyAlignment="1" applyProtection="1">
      <alignment horizontal="center"/>
      <protection locked="0"/>
    </xf>
    <xf numFmtId="0" fontId="7" fillId="9" borderId="45" xfId="0" applyFont="1" applyFill="1" applyBorder="1" applyAlignment="1" applyProtection="1">
      <alignment horizontal="center"/>
      <protection locked="0"/>
    </xf>
    <xf numFmtId="0" fontId="11" fillId="2" borderId="10" xfId="0" applyFont="1" applyFill="1" applyBorder="1" applyAlignment="1">
      <alignment horizontal="right"/>
    </xf>
    <xf numFmtId="0" fontId="7" fillId="10" borderId="0" xfId="0" applyFont="1" applyFill="1" applyAlignment="1">
      <alignment horizontal="center"/>
    </xf>
    <xf numFmtId="0" fontId="16" fillId="11" borderId="1" xfId="0" applyFont="1" applyFill="1" applyBorder="1" applyAlignment="1">
      <alignment horizontal="centerContinuous"/>
    </xf>
    <xf numFmtId="0" fontId="9" fillId="10" borderId="36" xfId="0" applyFont="1" applyFill="1" applyBorder="1"/>
    <xf numFmtId="0" fontId="9" fillId="10" borderId="43" xfId="0" applyFont="1" applyFill="1" applyBorder="1"/>
    <xf numFmtId="0" fontId="7" fillId="11" borderId="3" xfId="0" applyFont="1" applyFill="1" applyBorder="1" applyAlignment="1">
      <alignment horizontal="centerContinuous"/>
    </xf>
    <xf numFmtId="0" fontId="9" fillId="10" borderId="0" xfId="0" applyFont="1" applyFill="1"/>
    <xf numFmtId="167" fontId="3" fillId="10" borderId="16" xfId="1" applyNumberFormat="1" applyFont="1" applyFill="1" applyBorder="1" applyAlignment="1" applyProtection="1">
      <alignment horizontal="left" vertical="center" wrapText="1"/>
    </xf>
    <xf numFmtId="0" fontId="3" fillId="10" borderId="16" xfId="0" applyFont="1" applyFill="1" applyBorder="1" applyAlignment="1" applyProtection="1">
      <alignment horizontal="left" vertical="center" wrapText="1"/>
      <protection locked="0"/>
    </xf>
    <xf numFmtId="0" fontId="3" fillId="10" borderId="16" xfId="0" applyFont="1" applyFill="1" applyBorder="1" applyAlignment="1">
      <alignment horizontal="left" vertical="center" wrapText="1"/>
    </xf>
    <xf numFmtId="167" fontId="3" fillId="10" borderId="17" xfId="1" applyNumberFormat="1" applyFont="1" applyFill="1" applyBorder="1" applyAlignment="1" applyProtection="1">
      <alignment horizontal="left" vertical="center"/>
    </xf>
    <xf numFmtId="167" fontId="3" fillId="10" borderId="16" xfId="1" applyNumberFormat="1" applyFont="1" applyFill="1" applyBorder="1" applyAlignment="1" applyProtection="1">
      <alignment horizontal="left" vertical="center" wrapText="1"/>
      <protection locked="0"/>
    </xf>
    <xf numFmtId="0" fontId="3" fillId="10" borderId="18" xfId="0" applyFont="1" applyFill="1" applyBorder="1" applyAlignment="1" applyProtection="1">
      <alignment horizontal="left" vertical="center" wrapText="1"/>
      <protection locked="0"/>
    </xf>
    <xf numFmtId="2" fontId="3" fillId="10" borderId="7" xfId="0" applyNumberFormat="1" applyFont="1" applyFill="1" applyBorder="1" applyAlignment="1">
      <alignment horizontal="left" vertical="center"/>
    </xf>
    <xf numFmtId="0" fontId="3" fillId="10" borderId="16" xfId="0" applyFont="1" applyFill="1" applyBorder="1" applyAlignment="1">
      <alignment horizontal="left" vertical="center"/>
    </xf>
    <xf numFmtId="0" fontId="7" fillId="10" borderId="7" xfId="0" applyFont="1" applyFill="1" applyBorder="1" applyAlignment="1" applyProtection="1">
      <alignment horizontal="center"/>
      <protection hidden="1"/>
    </xf>
    <xf numFmtId="2" fontId="7" fillId="10" borderId="13" xfId="0" applyNumberFormat="1" applyFont="1" applyFill="1" applyBorder="1" applyAlignment="1" applyProtection="1">
      <alignment horizontal="center"/>
      <protection hidden="1"/>
    </xf>
    <xf numFmtId="2" fontId="16" fillId="10" borderId="14" xfId="0" applyNumberFormat="1" applyFont="1" applyFill="1" applyBorder="1" applyAlignment="1">
      <alignment horizontal="center"/>
    </xf>
    <xf numFmtId="0" fontId="11" fillId="2" borderId="0" xfId="0" applyFont="1" applyFill="1" applyAlignment="1">
      <alignment horizontal="right"/>
    </xf>
    <xf numFmtId="0" fontId="0" fillId="10" borderId="7" xfId="0" applyFill="1" applyBorder="1" applyAlignment="1" applyProtection="1">
      <alignment horizontal="center"/>
      <protection hidden="1"/>
    </xf>
    <xf numFmtId="49" fontId="3" fillId="9" borderId="10" xfId="0" applyNumberFormat="1" applyFont="1" applyFill="1" applyBorder="1" applyAlignment="1" applyProtection="1">
      <alignment horizontal="center"/>
      <protection locked="0"/>
    </xf>
    <xf numFmtId="0" fontId="0" fillId="0" borderId="0" xfId="0" applyAlignment="1">
      <alignment horizontal="center"/>
    </xf>
    <xf numFmtId="0" fontId="12" fillId="11" borderId="12" xfId="0" applyFont="1" applyFill="1" applyBorder="1" applyAlignment="1">
      <alignment horizontal="center" vertical="center"/>
    </xf>
    <xf numFmtId="0" fontId="12" fillId="11" borderId="20" xfId="0" applyFont="1" applyFill="1" applyBorder="1" applyAlignment="1">
      <alignment horizontal="center" vertical="center"/>
    </xf>
    <xf numFmtId="0" fontId="12" fillId="11" borderId="14" xfId="0" applyFont="1" applyFill="1" applyBorder="1" applyAlignment="1">
      <alignment horizontal="center" vertical="center"/>
    </xf>
    <xf numFmtId="0" fontId="11" fillId="11" borderId="12" xfId="0" applyFont="1" applyFill="1" applyBorder="1" applyAlignment="1">
      <alignment horizontal="center"/>
    </xf>
    <xf numFmtId="0" fontId="11" fillId="11" borderId="20" xfId="0" applyFont="1" applyFill="1" applyBorder="1" applyAlignment="1">
      <alignment horizontal="center"/>
    </xf>
    <xf numFmtId="0" fontId="11" fillId="11" borderId="14" xfId="0" applyFont="1" applyFill="1" applyBorder="1" applyAlignment="1">
      <alignment horizontal="center"/>
    </xf>
    <xf numFmtId="0" fontId="10" fillId="0" borderId="2" xfId="0" applyFont="1" applyBorder="1" applyAlignment="1">
      <alignment horizontal="center"/>
    </xf>
    <xf numFmtId="0" fontId="0" fillId="10" borderId="1" xfId="0" applyFill="1" applyBorder="1" applyAlignment="1" applyProtection="1">
      <alignment horizontal="center" vertical="center"/>
      <protection locked="0"/>
    </xf>
    <xf numFmtId="0" fontId="0" fillId="10" borderId="2" xfId="0" applyFill="1" applyBorder="1" applyAlignment="1" applyProtection="1">
      <alignment horizontal="center" vertical="center"/>
      <protection locked="0"/>
    </xf>
    <xf numFmtId="0" fontId="0" fillId="10" borderId="3" xfId="0" applyFill="1" applyBorder="1" applyAlignment="1" applyProtection="1">
      <alignment horizontal="center" vertical="center"/>
      <protection locked="0"/>
    </xf>
    <xf numFmtId="0" fontId="0" fillId="10" borderId="4" xfId="0" applyFill="1" applyBorder="1" applyAlignment="1" applyProtection="1">
      <alignment horizontal="center" vertical="center"/>
      <protection locked="0"/>
    </xf>
    <xf numFmtId="0" fontId="0" fillId="10" borderId="0" xfId="0" applyFill="1" applyAlignment="1" applyProtection="1">
      <alignment horizontal="center" vertical="center"/>
      <protection locked="0"/>
    </xf>
    <xf numFmtId="0" fontId="0" fillId="10" borderId="6" xfId="0" applyFill="1" applyBorder="1" applyAlignment="1" applyProtection="1">
      <alignment horizontal="center" vertical="center"/>
      <protection locked="0"/>
    </xf>
    <xf numFmtId="0" fontId="0" fillId="10" borderId="8" xfId="0" applyFill="1" applyBorder="1" applyAlignment="1" applyProtection="1">
      <alignment horizontal="center" vertical="center"/>
      <protection locked="0"/>
    </xf>
    <xf numFmtId="0" fontId="0" fillId="10" borderId="11" xfId="0" applyFill="1" applyBorder="1" applyAlignment="1" applyProtection="1">
      <alignment horizontal="center" vertical="center"/>
      <protection locked="0"/>
    </xf>
    <xf numFmtId="0" fontId="0" fillId="10" borderId="9" xfId="0" applyFill="1" applyBorder="1" applyAlignment="1" applyProtection="1">
      <alignment horizontal="center" vertical="center"/>
      <protection locked="0"/>
    </xf>
    <xf numFmtId="0" fontId="9" fillId="11" borderId="32" xfId="0" applyFont="1" applyFill="1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11" fillId="2" borderId="2" xfId="0" applyFont="1" applyFill="1" applyBorder="1" applyAlignment="1">
      <alignment horizontal="center"/>
    </xf>
    <xf numFmtId="0" fontId="11" fillId="2" borderId="0" xfId="0" applyFont="1" applyFill="1" applyAlignment="1">
      <alignment horizontal="center"/>
    </xf>
    <xf numFmtId="0" fontId="7" fillId="10" borderId="42" xfId="0" applyFont="1" applyFill="1" applyBorder="1" applyAlignment="1" applyProtection="1">
      <alignment horizontal="center"/>
    </xf>
    <xf numFmtId="0" fontId="7" fillId="10" borderId="27" xfId="0" applyFont="1" applyFill="1" applyBorder="1" applyAlignment="1" applyProtection="1">
      <alignment horizontal="center"/>
    </xf>
    <xf numFmtId="0" fontId="7" fillId="10" borderId="24" xfId="0" applyFont="1" applyFill="1" applyBorder="1" applyAlignment="1" applyProtection="1">
      <alignment horizontal="center"/>
    </xf>
    <xf numFmtId="0" fontId="7" fillId="10" borderId="22" xfId="0" applyFont="1" applyFill="1" applyBorder="1" applyAlignment="1" applyProtection="1">
      <alignment horizontal="center"/>
    </xf>
    <xf numFmtId="2" fontId="16" fillId="10" borderId="13" xfId="0" applyNumberFormat="1" applyFont="1" applyFill="1" applyBorder="1" applyAlignment="1" applyProtection="1">
      <alignment horizontal="center"/>
      <protection hidden="1"/>
    </xf>
  </cellXfs>
  <cellStyles count="5">
    <cellStyle name="Currency" xfId="1" builtinId="4"/>
    <cellStyle name="Hyperlink" xfId="2" builtinId="8"/>
    <cellStyle name="Input" xfId="3" builtinId="20"/>
    <cellStyle name="Normal" xfId="0" builtinId="0"/>
    <cellStyle name="Percent 2" xfId="4" xr:uid="{3C66D8AA-4B19-42BA-B227-33F7CA2BED98}"/>
  </cellStyles>
  <dxfs count="6">
    <dxf>
      <font>
        <color rgb="FF9C0006"/>
      </font>
      <fill>
        <patternFill>
          <fgColor rgb="FFFFC7CE"/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9" tint="0.79998168889431442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006100"/>
      <color rgb="FFC6EFCE"/>
      <color rgb="FFFFC7CE"/>
      <color rgb="FF9C0006"/>
      <color rgb="FFFBF88C"/>
      <color rgb="FF00FF00"/>
      <color rgb="FF66FF66"/>
      <color rgb="FFCC9900"/>
      <color rgb="FFFED7D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878192</xdr:colOff>
      <xdr:row>0</xdr:row>
      <xdr:rowOff>0</xdr:rowOff>
    </xdr:from>
    <xdr:to>
      <xdr:col>0</xdr:col>
      <xdr:colOff>3693393</xdr:colOff>
      <xdr:row>0</xdr:row>
      <xdr:rowOff>1406706</xdr:rowOff>
    </xdr:to>
    <xdr:pic>
      <xdr:nvPicPr>
        <xdr:cNvPr id="3" name="Picture 2" descr="City of Aspen Utilities Logo">
          <a:extLst>
            <a:ext uri="{FF2B5EF4-FFF2-40B4-BE49-F238E27FC236}">
              <a16:creationId xmlns:a16="http://schemas.microsoft.com/office/drawing/2014/main" id="{4EBE5BE0-3689-4B38-AE50-A0D17B2771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8192" y="0"/>
          <a:ext cx="2785270" cy="1386841"/>
        </a:xfrm>
        <a:prstGeom prst="rect">
          <a:avLst/>
        </a:prstGeom>
      </xdr:spPr>
    </xdr:pic>
    <xdr:clientData/>
  </xdr:twoCellAnchor>
  <xdr:twoCellAnchor editAs="oneCell">
    <xdr:from>
      <xdr:col>9</xdr:col>
      <xdr:colOff>531770</xdr:colOff>
      <xdr:row>21</xdr:row>
      <xdr:rowOff>54793</xdr:rowOff>
    </xdr:from>
    <xdr:to>
      <xdr:col>18</xdr:col>
      <xdr:colOff>232072</xdr:colOff>
      <xdr:row>39</xdr:row>
      <xdr:rowOff>79314</xdr:rowOff>
    </xdr:to>
    <xdr:pic>
      <xdr:nvPicPr>
        <xdr:cNvPr id="5" name="Picture 4" descr="A map of the City of Aspen Utilities' service areas.">
          <a:extLst>
            <a:ext uri="{FF2B5EF4-FFF2-40B4-BE49-F238E27FC236}">
              <a16:creationId xmlns:a16="http://schemas.microsoft.com/office/drawing/2014/main" id="{096ECA25-3BDC-87B8-E8EA-CDC2803A44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550770" y="8436793"/>
          <a:ext cx="9460252" cy="5467741"/>
        </a:xfrm>
        <a:prstGeom prst="rect">
          <a:avLst/>
        </a:prstGeom>
        <a:ln w="38100">
          <a:solidFill>
            <a:schemeClr val="accent1"/>
          </a:solidFill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216806</xdr:colOff>
      <xdr:row>0</xdr:row>
      <xdr:rowOff>67127</xdr:rowOff>
    </xdr:from>
    <xdr:to>
      <xdr:col>1</xdr:col>
      <xdr:colOff>1597869</xdr:colOff>
      <xdr:row>1</xdr:row>
      <xdr:rowOff>568595</xdr:rowOff>
    </xdr:to>
    <xdr:pic>
      <xdr:nvPicPr>
        <xdr:cNvPr id="2" name="Picture 1" descr="City of Aspen Utilities Logo">
          <a:extLst>
            <a:ext uri="{FF2B5EF4-FFF2-40B4-BE49-F238E27FC236}">
              <a16:creationId xmlns:a16="http://schemas.microsoft.com/office/drawing/2014/main" id="{1E5A176C-646A-4BFA-8081-8AD2C33B73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4520" y="67127"/>
          <a:ext cx="1366551" cy="71120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129541</xdr:colOff>
      <xdr:row>1</xdr:row>
      <xdr:rowOff>114300</xdr:rowOff>
    </xdr:from>
    <xdr:to>
      <xdr:col>11</xdr:col>
      <xdr:colOff>327660</xdr:colOff>
      <xdr:row>4</xdr:row>
      <xdr:rowOff>111921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5A76FCF-D7B7-40D2-99CB-9858E75650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9821" y="304800"/>
          <a:ext cx="807719" cy="68342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3CD9A3-5A68-4CCC-993E-0C57EB5FC407}">
  <sheetPr codeName="Sheet1">
    <pageSetUpPr fitToPage="1"/>
  </sheetPr>
  <dimension ref="A1:S122"/>
  <sheetViews>
    <sheetView tabSelected="1" topLeftCell="A23" zoomScale="55" zoomScaleNormal="55" zoomScaleSheetLayoutView="40" workbookViewId="0">
      <selection activeCell="F73" sqref="F73"/>
    </sheetView>
  </sheetViews>
  <sheetFormatPr defaultRowHeight="14.4" x14ac:dyDescent="0.3"/>
  <cols>
    <col min="1" max="1" width="87.5546875" customWidth="1"/>
    <col min="2" max="2" width="90.88671875" style="71" customWidth="1"/>
    <col min="3" max="3" width="23" customWidth="1"/>
    <col min="4" max="4" width="30.88671875" customWidth="1"/>
    <col min="5" max="5" width="29.6640625" customWidth="1"/>
    <col min="6" max="6" width="31.44140625" customWidth="1"/>
    <col min="7" max="7" width="24.109375" style="67" customWidth="1"/>
    <col min="8" max="8" width="26.33203125" customWidth="1"/>
    <col min="9" max="9" width="23.109375" style="67" customWidth="1"/>
    <col min="10" max="10" width="19.5546875" customWidth="1"/>
    <col min="11" max="19" width="15" customWidth="1"/>
  </cols>
  <sheetData>
    <row r="1" spans="1:19" ht="137.1" customHeight="1" thickBot="1" x14ac:dyDescent="0.35">
      <c r="A1" s="244"/>
      <c r="B1" s="222" t="s">
        <v>272</v>
      </c>
      <c r="C1" s="223"/>
      <c r="D1" s="223"/>
      <c r="E1" s="223"/>
      <c r="F1" s="223"/>
      <c r="G1" s="223"/>
      <c r="H1" s="223"/>
      <c r="I1" s="223"/>
      <c r="J1" s="223"/>
      <c r="K1" s="223"/>
      <c r="L1" s="223"/>
      <c r="M1" s="223"/>
      <c r="N1" s="223"/>
      <c r="O1" s="223"/>
      <c r="P1" s="223"/>
      <c r="Q1" s="223"/>
      <c r="R1" s="223"/>
      <c r="S1" s="344"/>
    </row>
    <row r="2" spans="1:19" ht="48.6" customHeight="1" x14ac:dyDescent="0.6">
      <c r="A2" s="275" t="s">
        <v>289</v>
      </c>
      <c r="B2" s="273" t="s">
        <v>293</v>
      </c>
      <c r="C2" s="274"/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  <c r="P2" s="274"/>
      <c r="Q2" s="274"/>
      <c r="R2" s="274"/>
      <c r="S2" s="345"/>
    </row>
    <row r="3" spans="1:19" ht="35.1" customHeight="1" thickBot="1" x14ac:dyDescent="0.65">
      <c r="A3" s="276"/>
      <c r="B3" s="272" t="s">
        <v>294</v>
      </c>
      <c r="C3" s="105"/>
      <c r="D3" s="105"/>
      <c r="E3" s="105"/>
      <c r="F3" s="105"/>
      <c r="G3" s="105"/>
      <c r="H3" s="105"/>
      <c r="I3" s="105"/>
      <c r="J3" s="105"/>
      <c r="K3" s="105"/>
      <c r="L3" s="105"/>
      <c r="M3" s="105"/>
      <c r="N3" s="105"/>
      <c r="O3" s="105"/>
      <c r="P3" s="105"/>
      <c r="Q3" s="105"/>
      <c r="R3" s="105"/>
      <c r="S3" s="245"/>
    </row>
    <row r="4" spans="1:19" ht="21.6" customHeight="1" thickBot="1" x14ac:dyDescent="0.45">
      <c r="A4" s="285"/>
      <c r="B4" s="286"/>
      <c r="C4" s="1"/>
      <c r="D4" s="1"/>
      <c r="E4" s="1"/>
      <c r="F4" s="1"/>
      <c r="G4" s="287"/>
      <c r="H4" s="1"/>
      <c r="I4" s="287"/>
      <c r="J4" s="1"/>
      <c r="K4" s="1"/>
      <c r="L4" s="1"/>
      <c r="M4" s="1"/>
      <c r="N4" s="1"/>
      <c r="O4" s="1"/>
      <c r="P4" s="1"/>
      <c r="Q4" s="1"/>
      <c r="R4" s="1"/>
      <c r="S4" s="24"/>
    </row>
    <row r="5" spans="1:19" ht="49.35" customHeight="1" thickBot="1" x14ac:dyDescent="0.7">
      <c r="A5" s="288" t="s">
        <v>0</v>
      </c>
      <c r="B5" s="286"/>
      <c r="C5" s="1"/>
      <c r="D5" s="1"/>
      <c r="E5" s="1"/>
      <c r="F5" s="289"/>
      <c r="G5" s="290"/>
      <c r="H5" s="1"/>
      <c r="I5" s="287"/>
      <c r="J5" s="1"/>
      <c r="K5" s="1"/>
      <c r="L5" s="1"/>
      <c r="M5" s="1"/>
      <c r="N5" s="1"/>
      <c r="O5" s="1"/>
      <c r="P5" s="1"/>
      <c r="Q5" s="1"/>
      <c r="R5" s="1"/>
      <c r="S5" s="24"/>
    </row>
    <row r="6" spans="1:19" ht="43.35" customHeight="1" thickBot="1" x14ac:dyDescent="0.55000000000000004">
      <c r="A6" s="291" t="s">
        <v>185</v>
      </c>
      <c r="B6" s="292"/>
      <c r="C6" s="293"/>
      <c r="D6" s="294"/>
      <c r="E6" s="1"/>
      <c r="F6" s="1"/>
      <c r="G6" s="287"/>
      <c r="H6" s="1"/>
      <c r="I6" s="287"/>
      <c r="J6" s="1"/>
      <c r="K6" s="1"/>
      <c r="L6" s="1"/>
      <c r="M6" s="1"/>
      <c r="N6" s="1"/>
      <c r="O6" s="1"/>
      <c r="P6" s="1"/>
      <c r="Q6" s="1"/>
      <c r="R6" s="1"/>
      <c r="S6" s="24"/>
    </row>
    <row r="7" spans="1:19" ht="18.600000000000001" thickBot="1" x14ac:dyDescent="0.4">
      <c r="A7" s="4"/>
      <c r="B7" s="295"/>
      <c r="C7" s="1"/>
      <c r="D7" s="1"/>
      <c r="E7" s="1"/>
      <c r="F7" s="1"/>
      <c r="G7" s="287"/>
      <c r="H7" s="1"/>
      <c r="I7" s="287"/>
      <c r="J7" s="462" t="s">
        <v>1</v>
      </c>
      <c r="K7" s="463"/>
      <c r="L7" s="463"/>
      <c r="M7" s="463"/>
      <c r="N7" s="463"/>
      <c r="O7" s="463"/>
      <c r="P7" s="463"/>
      <c r="Q7" s="463"/>
      <c r="R7" s="463"/>
      <c r="S7" s="464"/>
    </row>
    <row r="8" spans="1:19" ht="16.2" thickBot="1" x14ac:dyDescent="0.35">
      <c r="A8" s="106"/>
      <c r="B8" s="373"/>
      <c r="C8" s="107"/>
      <c r="D8" s="108"/>
      <c r="E8" s="374"/>
      <c r="F8" s="108"/>
      <c r="G8" s="117"/>
      <c r="H8" s="112"/>
      <c r="I8" s="287"/>
      <c r="J8" s="296" t="s">
        <v>2</v>
      </c>
      <c r="K8" s="298" t="s">
        <v>3</v>
      </c>
      <c r="L8" s="299" t="s">
        <v>4</v>
      </c>
      <c r="M8" s="298" t="s">
        <v>5</v>
      </c>
      <c r="N8" s="298" t="s">
        <v>6</v>
      </c>
      <c r="O8" s="300" t="s">
        <v>7</v>
      </c>
      <c r="P8" s="298" t="s">
        <v>8</v>
      </c>
      <c r="Q8" s="298" t="s">
        <v>9</v>
      </c>
      <c r="R8" s="298" t="s">
        <v>271</v>
      </c>
      <c r="S8" s="298" t="s">
        <v>300</v>
      </c>
    </row>
    <row r="9" spans="1:19" ht="16.2" thickBot="1" x14ac:dyDescent="0.35">
      <c r="A9" s="119" t="s">
        <v>10</v>
      </c>
      <c r="B9" s="375"/>
      <c r="C9" s="1"/>
      <c r="D9" s="281" t="s">
        <v>22</v>
      </c>
      <c r="E9" s="376"/>
      <c r="F9" s="377"/>
      <c r="G9" s="367" t="s">
        <v>12</v>
      </c>
      <c r="H9" s="171"/>
      <c r="I9" s="287"/>
      <c r="J9" s="303">
        <v>1</v>
      </c>
      <c r="K9" s="304">
        <v>5795</v>
      </c>
      <c r="L9" s="304">
        <v>7019</v>
      </c>
      <c r="M9" s="304">
        <v>7960</v>
      </c>
      <c r="N9" s="304">
        <v>9334</v>
      </c>
      <c r="O9" s="305">
        <v>9868</v>
      </c>
      <c r="P9" s="305">
        <v>10855</v>
      </c>
      <c r="Q9" s="305">
        <v>11730</v>
      </c>
      <c r="R9" s="336">
        <v>13020</v>
      </c>
      <c r="S9" s="336">
        <v>14973</v>
      </c>
    </row>
    <row r="10" spans="1:19" ht="16.2" thickBot="1" x14ac:dyDescent="0.35">
      <c r="A10" s="430" t="s">
        <v>305</v>
      </c>
      <c r="B10" s="378"/>
      <c r="C10" s="1"/>
      <c r="D10" s="379" t="s">
        <v>19</v>
      </c>
      <c r="E10" s="380"/>
      <c r="F10" s="377"/>
      <c r="G10" s="368" t="s">
        <v>15</v>
      </c>
      <c r="H10" s="172"/>
      <c r="I10" s="287"/>
      <c r="J10" s="306">
        <v>2</v>
      </c>
      <c r="K10" s="301">
        <v>11590</v>
      </c>
      <c r="L10" s="301">
        <v>14038</v>
      </c>
      <c r="M10" s="301">
        <v>15920</v>
      </c>
      <c r="N10" s="301">
        <v>18668</v>
      </c>
      <c r="O10" s="302">
        <v>19736</v>
      </c>
      <c r="P10" s="302">
        <v>21710</v>
      </c>
      <c r="Q10" s="302">
        <f>P10*1.0806</f>
        <v>23459.826000000001</v>
      </c>
      <c r="R10" s="337">
        <v>26041</v>
      </c>
      <c r="S10" s="337">
        <v>29947</v>
      </c>
    </row>
    <row r="11" spans="1:19" ht="15.6" x14ac:dyDescent="0.3">
      <c r="A11" s="119" t="s">
        <v>13</v>
      </c>
      <c r="B11" s="378"/>
      <c r="C11" s="4"/>
      <c r="D11" s="281" t="s">
        <v>26</v>
      </c>
      <c r="E11" s="380"/>
      <c r="F11" s="382"/>
      <c r="G11" s="368"/>
      <c r="H11" s="120"/>
      <c r="I11" s="287"/>
      <c r="J11" s="306">
        <v>3</v>
      </c>
      <c r="K11" s="301">
        <v>11590</v>
      </c>
      <c r="L11" s="301">
        <v>14038</v>
      </c>
      <c r="M11" s="301">
        <v>15920</v>
      </c>
      <c r="N11" s="301">
        <v>18668</v>
      </c>
      <c r="O11" s="302">
        <v>19736</v>
      </c>
      <c r="P11" s="302">
        <v>21710</v>
      </c>
      <c r="Q11" s="302">
        <f>P11*1.0806</f>
        <v>23459.826000000001</v>
      </c>
      <c r="R11" s="337">
        <v>26041</v>
      </c>
      <c r="S11" s="337">
        <v>29947</v>
      </c>
    </row>
    <row r="12" spans="1:19" ht="15.6" customHeight="1" x14ac:dyDescent="0.3">
      <c r="A12" s="119" t="s">
        <v>16</v>
      </c>
      <c r="B12" s="381"/>
      <c r="C12" s="1"/>
      <c r="D12" s="281" t="s">
        <v>302</v>
      </c>
      <c r="E12" s="383"/>
      <c r="F12" s="382"/>
      <c r="G12" s="369"/>
      <c r="H12" s="24"/>
      <c r="I12" s="287"/>
      <c r="J12" s="306">
        <v>4</v>
      </c>
      <c r="K12" s="301">
        <v>7243.75</v>
      </c>
      <c r="L12" s="301">
        <v>8774</v>
      </c>
      <c r="M12" s="301">
        <v>9950</v>
      </c>
      <c r="N12" s="301">
        <v>11668</v>
      </c>
      <c r="O12" s="302">
        <v>12335</v>
      </c>
      <c r="P12" s="302">
        <v>13569</v>
      </c>
      <c r="Q12" s="302">
        <f>P12*1.0806</f>
        <v>14662.661400000001</v>
      </c>
      <c r="R12" s="337">
        <v>16275</v>
      </c>
      <c r="S12" s="337">
        <v>18717</v>
      </c>
    </row>
    <row r="13" spans="1:19" ht="16.350000000000001" customHeight="1" thickBot="1" x14ac:dyDescent="0.35">
      <c r="A13" s="119" t="s">
        <v>17</v>
      </c>
      <c r="B13" s="378"/>
      <c r="C13" s="1"/>
      <c r="D13" s="281" t="s">
        <v>18</v>
      </c>
      <c r="E13" s="383"/>
      <c r="F13" s="382"/>
      <c r="G13" s="370"/>
      <c r="H13" s="111"/>
      <c r="I13" s="287"/>
      <c r="J13" s="306">
        <v>5</v>
      </c>
      <c r="K13" s="301">
        <v>10141.25</v>
      </c>
      <c r="L13" s="301">
        <v>12284</v>
      </c>
      <c r="M13" s="301">
        <v>13930</v>
      </c>
      <c r="N13" s="301">
        <v>16335</v>
      </c>
      <c r="O13" s="302">
        <v>17269</v>
      </c>
      <c r="P13" s="302">
        <v>18996</v>
      </c>
      <c r="Q13" s="302">
        <v>20528</v>
      </c>
      <c r="R13" s="337">
        <v>22786</v>
      </c>
      <c r="S13" s="337">
        <v>26203</v>
      </c>
    </row>
    <row r="14" spans="1:19" ht="16.350000000000001" customHeight="1" thickBot="1" x14ac:dyDescent="0.35">
      <c r="A14" s="119" t="s">
        <v>11</v>
      </c>
      <c r="B14" s="384"/>
      <c r="C14" s="1"/>
      <c r="D14" s="281" t="s">
        <v>20</v>
      </c>
      <c r="E14" s="385"/>
      <c r="F14" s="377"/>
      <c r="G14" s="368" t="s">
        <v>21</v>
      </c>
      <c r="H14" s="128"/>
      <c r="I14" s="287"/>
      <c r="J14" s="306">
        <v>6</v>
      </c>
      <c r="K14" s="301">
        <v>11590</v>
      </c>
      <c r="L14" s="301">
        <v>14038</v>
      </c>
      <c r="M14" s="301">
        <v>15920</v>
      </c>
      <c r="N14" s="301">
        <v>18668</v>
      </c>
      <c r="O14" s="302">
        <v>19736</v>
      </c>
      <c r="P14" s="302">
        <v>21710</v>
      </c>
      <c r="Q14" s="302">
        <v>23460</v>
      </c>
      <c r="R14" s="337">
        <v>26041</v>
      </c>
      <c r="S14" s="337">
        <v>29947</v>
      </c>
    </row>
    <row r="15" spans="1:19" ht="16.350000000000001" customHeight="1" thickBot="1" x14ac:dyDescent="0.4">
      <c r="A15" s="119" t="s">
        <v>14</v>
      </c>
      <c r="B15" s="384"/>
      <c r="C15" s="1"/>
      <c r="D15" s="281" t="s">
        <v>23</v>
      </c>
      <c r="E15" s="385"/>
      <c r="F15" s="377"/>
      <c r="G15" s="371" t="s">
        <v>24</v>
      </c>
      <c r="H15" s="72">
        <v>45671</v>
      </c>
      <c r="I15" s="287"/>
      <c r="J15" s="307">
        <v>7</v>
      </c>
      <c r="K15" s="308">
        <v>8692.5</v>
      </c>
      <c r="L15" s="308">
        <v>10529</v>
      </c>
      <c r="M15" s="308">
        <v>11940</v>
      </c>
      <c r="N15" s="308">
        <v>14001</v>
      </c>
      <c r="O15" s="309">
        <v>14802</v>
      </c>
      <c r="P15" s="309">
        <v>16282</v>
      </c>
      <c r="Q15" s="309">
        <v>17595</v>
      </c>
      <c r="R15" s="338">
        <v>19530</v>
      </c>
      <c r="S15" s="338">
        <v>22460</v>
      </c>
    </row>
    <row r="16" spans="1:19" ht="16.350000000000001" customHeight="1" thickBot="1" x14ac:dyDescent="0.35">
      <c r="A16" s="119" t="s">
        <v>301</v>
      </c>
      <c r="B16" s="378"/>
      <c r="C16" s="1"/>
      <c r="D16" s="281" t="s">
        <v>264</v>
      </c>
      <c r="E16" s="385"/>
      <c r="F16" s="377"/>
      <c r="G16" s="370"/>
      <c r="H16" s="116"/>
      <c r="I16" s="287"/>
      <c r="J16" s="297"/>
      <c r="K16" s="310"/>
      <c r="L16" s="310"/>
      <c r="M16" s="310"/>
      <c r="N16" s="310"/>
      <c r="O16" s="311"/>
      <c r="P16" s="311"/>
      <c r="Q16" s="311"/>
      <c r="R16" s="311"/>
      <c r="S16" s="24"/>
    </row>
    <row r="17" spans="1:19" ht="16.350000000000001" customHeight="1" thickBot="1" x14ac:dyDescent="0.35">
      <c r="A17" s="119" t="s">
        <v>27</v>
      </c>
      <c r="B17" s="386"/>
      <c r="C17" s="1"/>
      <c r="D17" s="281" t="s">
        <v>317</v>
      </c>
      <c r="E17" s="380"/>
      <c r="F17" s="377"/>
      <c r="G17" s="370"/>
      <c r="H17" s="116"/>
      <c r="I17" s="287"/>
      <c r="J17" s="459" t="s">
        <v>29</v>
      </c>
      <c r="K17" s="460"/>
      <c r="L17" s="460"/>
      <c r="M17" s="460"/>
      <c r="N17" s="460"/>
      <c r="O17" s="460"/>
      <c r="P17" s="460"/>
      <c r="Q17" s="460"/>
      <c r="R17" s="460"/>
      <c r="S17" s="461"/>
    </row>
    <row r="18" spans="1:19" ht="16.2" thickBot="1" x14ac:dyDescent="0.35">
      <c r="A18" s="119" t="s">
        <v>25</v>
      </c>
      <c r="B18" s="431"/>
      <c r="C18" s="1"/>
      <c r="D18" s="281" t="s">
        <v>314</v>
      </c>
      <c r="E18" s="385"/>
      <c r="F18" s="377"/>
      <c r="G18" s="370"/>
      <c r="H18" s="24"/>
      <c r="I18" s="287"/>
      <c r="J18" s="353" t="s">
        <v>38</v>
      </c>
      <c r="K18" s="349"/>
      <c r="L18" s="352"/>
      <c r="M18" s="350" t="s">
        <v>39</v>
      </c>
      <c r="N18" s="304">
        <v>6736</v>
      </c>
      <c r="O18" s="304">
        <v>6736</v>
      </c>
      <c r="P18" s="304">
        <v>6736</v>
      </c>
      <c r="Q18" s="304">
        <v>7410</v>
      </c>
      <c r="R18" s="339">
        <v>8002.8</v>
      </c>
      <c r="S18" s="339">
        <v>8323</v>
      </c>
    </row>
    <row r="19" spans="1:19" ht="16.2" thickBot="1" x14ac:dyDescent="0.35">
      <c r="A19" s="458"/>
      <c r="B19" s="458"/>
      <c r="C19" s="281"/>
      <c r="D19" s="281" t="s">
        <v>28</v>
      </c>
      <c r="E19" s="457"/>
      <c r="F19" s="377"/>
      <c r="G19" s="372"/>
      <c r="H19" s="25"/>
      <c r="I19" s="287"/>
      <c r="J19" s="354" t="s">
        <v>42</v>
      </c>
      <c r="K19" s="342"/>
      <c r="L19" s="355"/>
      <c r="M19" s="351" t="s">
        <v>39</v>
      </c>
      <c r="N19" s="313">
        <v>1675</v>
      </c>
      <c r="O19" s="313">
        <v>1675</v>
      </c>
      <c r="P19" s="313">
        <v>1675</v>
      </c>
      <c r="Q19" s="308">
        <v>1845</v>
      </c>
      <c r="R19" s="343">
        <v>1992.6</v>
      </c>
      <c r="S19" s="343">
        <v>2073</v>
      </c>
    </row>
    <row r="20" spans="1:19" ht="16.2" thickBot="1" x14ac:dyDescent="0.35">
      <c r="A20" s="109"/>
      <c r="B20" s="110"/>
      <c r="C20" s="110"/>
      <c r="D20" s="110"/>
      <c r="E20" s="110"/>
      <c r="F20" s="110"/>
      <c r="G20" s="118"/>
      <c r="H20" s="25"/>
      <c r="I20" s="287"/>
      <c r="J20" s="1"/>
      <c r="K20" s="1"/>
      <c r="L20" s="1"/>
      <c r="M20" s="22"/>
      <c r="N20" s="22"/>
      <c r="O20" s="22"/>
      <c r="P20" s="22"/>
      <c r="Q20" s="22"/>
      <c r="R20" s="22"/>
      <c r="S20" s="23"/>
    </row>
    <row r="21" spans="1:19" s="8" customFormat="1" ht="97.35" customHeight="1" thickBot="1" x14ac:dyDescent="0.4">
      <c r="A21" s="412" t="s">
        <v>241</v>
      </c>
      <c r="B21" s="391" t="s">
        <v>242</v>
      </c>
      <c r="C21" s="283" t="s">
        <v>31</v>
      </c>
      <c r="D21" s="282" t="s">
        <v>32</v>
      </c>
      <c r="E21" s="283" t="s">
        <v>33</v>
      </c>
      <c r="F21" s="284" t="s">
        <v>34</v>
      </c>
      <c r="G21" s="283" t="s">
        <v>35</v>
      </c>
      <c r="H21" s="283" t="s">
        <v>36</v>
      </c>
      <c r="I21" s="284" t="s">
        <v>37</v>
      </c>
      <c r="J21" s="348"/>
      <c r="K21" s="346"/>
      <c r="L21" s="346"/>
      <c r="M21" s="346"/>
      <c r="N21" s="346"/>
      <c r="O21" s="346"/>
      <c r="P21" s="346"/>
      <c r="Q21" s="346"/>
      <c r="R21" s="346"/>
      <c r="S21" s="347"/>
    </row>
    <row r="22" spans="1:19" s="9" customFormat="1" ht="21" x14ac:dyDescent="0.4">
      <c r="A22" s="413" t="s">
        <v>186</v>
      </c>
      <c r="B22" s="392" t="s">
        <v>39</v>
      </c>
      <c r="C22" s="126">
        <v>0.05</v>
      </c>
      <c r="D22" s="77"/>
      <c r="E22" s="131">
        <f>ROUND((C22*D22),2)</f>
        <v>0</v>
      </c>
      <c r="F22" s="77"/>
      <c r="G22" s="131">
        <f>ROUND(F22*$C$22,2)</f>
        <v>0</v>
      </c>
      <c r="H22" s="80"/>
      <c r="I22" s="131">
        <f>ROUND(H22*$C$22,2)</f>
        <v>0</v>
      </c>
      <c r="J22" s="312"/>
      <c r="K22" s="312"/>
      <c r="L22" s="312"/>
      <c r="M22" s="312"/>
      <c r="N22" s="312"/>
      <c r="O22" s="312"/>
      <c r="P22" s="312"/>
      <c r="Q22" s="312"/>
      <c r="R22" s="312"/>
      <c r="S22" s="317"/>
    </row>
    <row r="23" spans="1:19" s="9" customFormat="1" ht="21" x14ac:dyDescent="0.4">
      <c r="A23" s="28" t="s">
        <v>187</v>
      </c>
      <c r="B23" s="393" t="s">
        <v>39</v>
      </c>
      <c r="C23" s="121">
        <v>0.02</v>
      </c>
      <c r="D23" s="129"/>
      <c r="E23" s="133">
        <f t="shared" ref="E23:E70" si="0">ROUND((C23*D23),2)</f>
        <v>0</v>
      </c>
      <c r="F23" s="129"/>
      <c r="G23" s="133">
        <f>ROUND(F23*$C$23,2)</f>
        <v>0</v>
      </c>
      <c r="H23" s="84"/>
      <c r="I23" s="133">
        <f>ROUND(H23*$C$23,2)</f>
        <v>0</v>
      </c>
      <c r="J23" s="312"/>
      <c r="K23" s="312"/>
      <c r="L23" s="314"/>
      <c r="M23" s="315"/>
      <c r="N23" s="312"/>
      <c r="O23" s="312"/>
      <c r="P23" s="316"/>
      <c r="Q23" s="312"/>
      <c r="R23" s="312"/>
      <c r="S23" s="317"/>
    </row>
    <row r="24" spans="1:19" s="9" customFormat="1" ht="21.6" thickBot="1" x14ac:dyDescent="0.45">
      <c r="A24" s="20" t="s">
        <v>188</v>
      </c>
      <c r="B24" s="394" t="s">
        <v>39</v>
      </c>
      <c r="C24" s="125">
        <v>0.05</v>
      </c>
      <c r="D24" s="79"/>
      <c r="E24" s="134">
        <f t="shared" si="0"/>
        <v>0</v>
      </c>
      <c r="F24" s="79"/>
      <c r="G24" s="134">
        <f>ROUND(F24*$C$24,2)</f>
        <v>0</v>
      </c>
      <c r="H24" s="81"/>
      <c r="I24" s="134">
        <f>ROUND(H24*$C$24,2)</f>
        <v>0</v>
      </c>
      <c r="J24" s="312"/>
      <c r="K24" s="312"/>
      <c r="L24" s="314"/>
      <c r="M24" s="315"/>
      <c r="N24" s="312"/>
      <c r="O24" s="312"/>
      <c r="P24" s="318"/>
      <c r="Q24" s="312"/>
      <c r="R24" s="312"/>
      <c r="S24" s="317"/>
    </row>
    <row r="25" spans="1:19" s="9" customFormat="1" ht="21.6" customHeight="1" x14ac:dyDescent="0.4">
      <c r="A25" s="414" t="s">
        <v>225</v>
      </c>
      <c r="B25" s="395" t="s">
        <v>39</v>
      </c>
      <c r="C25" s="127">
        <v>0.25</v>
      </c>
      <c r="D25" s="77"/>
      <c r="E25" s="131">
        <f>ROUND((C25*D25),2)</f>
        <v>0</v>
      </c>
      <c r="F25" s="77"/>
      <c r="G25" s="131">
        <f>ROUND(F25*$C$25,2)</f>
        <v>0</v>
      </c>
      <c r="H25" s="80"/>
      <c r="I25" s="131">
        <f>ROUND(H25*$C$25,2)</f>
        <v>0</v>
      </c>
      <c r="J25" s="312"/>
      <c r="K25" s="319"/>
      <c r="L25" s="320"/>
      <c r="M25" s="312"/>
      <c r="N25" s="321" t="s">
        <v>46</v>
      </c>
      <c r="O25" s="312"/>
      <c r="P25" s="312"/>
      <c r="Q25" s="312"/>
      <c r="R25" s="312"/>
      <c r="S25" s="317"/>
    </row>
    <row r="26" spans="1:19" s="9" customFormat="1" ht="67.349999999999994" customHeight="1" x14ac:dyDescent="0.4">
      <c r="A26" s="415" t="s">
        <v>202</v>
      </c>
      <c r="B26" s="396" t="s">
        <v>233</v>
      </c>
      <c r="C26" s="121">
        <v>0.15</v>
      </c>
      <c r="D26" s="129"/>
      <c r="E26" s="133">
        <f>ROUND((C26*D26),2)</f>
        <v>0</v>
      </c>
      <c r="F26" s="129"/>
      <c r="G26" s="133">
        <f>ROUND(F26*$C$26,2)</f>
        <v>0</v>
      </c>
      <c r="H26" s="84"/>
      <c r="I26" s="133">
        <f>ROUND(H26*$C$26,2)</f>
        <v>0</v>
      </c>
      <c r="J26" s="312"/>
      <c r="K26" s="312"/>
      <c r="L26" s="314"/>
      <c r="M26" s="312"/>
      <c r="N26" s="297" t="s">
        <v>267</v>
      </c>
      <c r="O26" s="312"/>
      <c r="P26" s="312"/>
      <c r="Q26" s="312"/>
      <c r="R26" s="312"/>
      <c r="S26" s="317"/>
    </row>
    <row r="27" spans="1:19" s="9" customFormat="1" ht="21" x14ac:dyDescent="0.4">
      <c r="A27" s="416" t="s">
        <v>189</v>
      </c>
      <c r="B27" s="397" t="s">
        <v>39</v>
      </c>
      <c r="C27" s="121">
        <v>0.08</v>
      </c>
      <c r="D27" s="129"/>
      <c r="E27" s="133">
        <f t="shared" si="0"/>
        <v>0</v>
      </c>
      <c r="F27" s="129"/>
      <c r="G27" s="133">
        <f>ROUND(F27*$C$27,2)</f>
        <v>0</v>
      </c>
      <c r="H27" s="84"/>
      <c r="I27" s="133">
        <f>ROUND(H27*$C$27,2)</f>
        <v>0</v>
      </c>
      <c r="J27" s="312"/>
      <c r="K27" s="312" t="s">
        <v>303</v>
      </c>
      <c r="L27" s="312"/>
      <c r="M27" s="312"/>
      <c r="N27" s="297" t="s">
        <v>268</v>
      </c>
      <c r="O27" s="312"/>
      <c r="P27" s="312"/>
      <c r="Q27" s="312"/>
      <c r="R27" s="312"/>
      <c r="S27" s="317"/>
    </row>
    <row r="28" spans="1:19" s="9" customFormat="1" ht="21" x14ac:dyDescent="0.4">
      <c r="A28" s="12" t="s">
        <v>190</v>
      </c>
      <c r="B28" s="278" t="s">
        <v>240</v>
      </c>
      <c r="C28" s="121">
        <v>0.05</v>
      </c>
      <c r="D28" s="129"/>
      <c r="E28" s="133">
        <f t="shared" si="0"/>
        <v>0</v>
      </c>
      <c r="F28" s="129"/>
      <c r="G28" s="133">
        <f>ROUND(F28*$C$28,2)</f>
        <v>0</v>
      </c>
      <c r="H28" s="84"/>
      <c r="I28" s="133">
        <f>ROUND(H28*$C$28,2)</f>
        <v>0</v>
      </c>
      <c r="J28" s="312"/>
      <c r="K28" s="312" t="s">
        <v>304</v>
      </c>
      <c r="L28" s="312"/>
      <c r="M28" s="312"/>
      <c r="N28" s="297" t="s">
        <v>48</v>
      </c>
      <c r="O28" s="312"/>
      <c r="P28" s="312"/>
      <c r="Q28" s="312"/>
      <c r="R28" s="312"/>
      <c r="S28" s="317"/>
    </row>
    <row r="29" spans="1:19" s="9" customFormat="1" ht="21" x14ac:dyDescent="0.4">
      <c r="A29" s="12" t="s">
        <v>191</v>
      </c>
      <c r="B29" s="278" t="s">
        <v>206</v>
      </c>
      <c r="C29" s="121">
        <v>0.05</v>
      </c>
      <c r="D29" s="129"/>
      <c r="E29" s="133">
        <f t="shared" si="0"/>
        <v>0</v>
      </c>
      <c r="F29" s="129"/>
      <c r="G29" s="133">
        <f>ROUND(F29*$C$29,2)</f>
        <v>0</v>
      </c>
      <c r="H29" s="84"/>
      <c r="I29" s="133">
        <f>ROUND(H29*$C$29,2)</f>
        <v>0</v>
      </c>
      <c r="J29" s="312"/>
      <c r="K29" s="312"/>
      <c r="L29" s="312"/>
      <c r="M29" s="314"/>
      <c r="N29" s="321" t="s">
        <v>50</v>
      </c>
      <c r="O29" s="312"/>
      <c r="P29" s="312"/>
      <c r="Q29" s="312"/>
      <c r="R29" s="312"/>
      <c r="S29" s="317"/>
    </row>
    <row r="30" spans="1:19" s="9" customFormat="1" ht="21" x14ac:dyDescent="0.4">
      <c r="A30" s="20" t="s">
        <v>192</v>
      </c>
      <c r="B30" s="398" t="s">
        <v>39</v>
      </c>
      <c r="C30" s="121">
        <v>0.08</v>
      </c>
      <c r="D30" s="129"/>
      <c r="E30" s="133">
        <f t="shared" si="0"/>
        <v>0</v>
      </c>
      <c r="F30" s="129"/>
      <c r="G30" s="133">
        <f>ROUND(F30*$C$30,2)</f>
        <v>0</v>
      </c>
      <c r="H30" s="84"/>
      <c r="I30" s="133">
        <f>ROUND(H30*$C$30,2)</f>
        <v>0</v>
      </c>
      <c r="J30" s="312"/>
      <c r="K30" s="312"/>
      <c r="L30" s="312"/>
      <c r="M30" s="321"/>
      <c r="N30" s="322" t="s">
        <v>52</v>
      </c>
      <c r="O30" s="312"/>
      <c r="P30" s="312"/>
      <c r="Q30" s="312"/>
      <c r="R30" s="312"/>
      <c r="S30" s="317"/>
    </row>
    <row r="31" spans="1:19" s="9" customFormat="1" ht="21" x14ac:dyDescent="0.4">
      <c r="A31" s="417" t="s">
        <v>57</v>
      </c>
      <c r="B31" s="277" t="s">
        <v>217</v>
      </c>
      <c r="C31" s="121">
        <v>0.1</v>
      </c>
      <c r="D31" s="129"/>
      <c r="E31" s="133">
        <f t="shared" si="0"/>
        <v>0</v>
      </c>
      <c r="F31" s="129"/>
      <c r="G31" s="133">
        <f>ROUND(F31*$C$31,2)</f>
        <v>0</v>
      </c>
      <c r="H31" s="84"/>
      <c r="I31" s="133">
        <f>ROUND(H31*$C$31,2)</f>
        <v>0</v>
      </c>
      <c r="J31" s="312"/>
      <c r="K31" s="312"/>
      <c r="L31" s="312"/>
      <c r="M31" s="314"/>
      <c r="N31" s="322" t="s">
        <v>53</v>
      </c>
      <c r="O31" s="312"/>
      <c r="P31" s="312"/>
      <c r="Q31" s="312"/>
      <c r="R31" s="312"/>
      <c r="S31" s="317"/>
    </row>
    <row r="32" spans="1:19" s="9" customFormat="1" ht="21" x14ac:dyDescent="0.4">
      <c r="A32" s="418"/>
      <c r="B32" s="277" t="s">
        <v>207</v>
      </c>
      <c r="C32" s="121">
        <v>0.1</v>
      </c>
      <c r="D32" s="129"/>
      <c r="E32" s="133">
        <f t="shared" si="0"/>
        <v>0</v>
      </c>
      <c r="F32" s="129"/>
      <c r="G32" s="133">
        <f>ROUND(F32*$C$32,2)</f>
        <v>0</v>
      </c>
      <c r="H32" s="84"/>
      <c r="I32" s="133">
        <f>ROUND(H32*$C$32,2)</f>
        <v>0</v>
      </c>
      <c r="J32" s="312"/>
      <c r="K32" s="312"/>
      <c r="L32" s="312"/>
      <c r="M32" s="314"/>
      <c r="N32" s="322" t="s">
        <v>56</v>
      </c>
      <c r="O32" s="312"/>
      <c r="P32" s="312"/>
      <c r="Q32" s="312"/>
      <c r="R32" s="312"/>
      <c r="S32" s="317"/>
    </row>
    <row r="33" spans="1:19" s="9" customFormat="1" ht="21" x14ac:dyDescent="0.4">
      <c r="A33" s="419"/>
      <c r="B33" s="278" t="s">
        <v>208</v>
      </c>
      <c r="C33" s="121">
        <v>0.05</v>
      </c>
      <c r="D33" s="129"/>
      <c r="E33" s="133">
        <f t="shared" si="0"/>
        <v>0</v>
      </c>
      <c r="F33" s="129"/>
      <c r="G33" s="133">
        <f>ROUND(F33*$C$33,2)</f>
        <v>0</v>
      </c>
      <c r="H33" s="84"/>
      <c r="I33" s="133">
        <f>ROUND(H33*$C$33,2)</f>
        <v>0</v>
      </c>
      <c r="J33" s="312"/>
      <c r="K33" s="312"/>
      <c r="L33" s="312"/>
      <c r="M33" s="314"/>
      <c r="N33" s="322" t="s">
        <v>58</v>
      </c>
      <c r="O33" s="312"/>
      <c r="P33" s="312"/>
      <c r="Q33" s="312"/>
      <c r="R33" s="312"/>
      <c r="S33" s="317"/>
    </row>
    <row r="34" spans="1:19" s="9" customFormat="1" ht="21" x14ac:dyDescent="0.4">
      <c r="A34" s="17" t="s">
        <v>193</v>
      </c>
      <c r="B34" s="398" t="s">
        <v>39</v>
      </c>
      <c r="C34" s="121">
        <v>0.05</v>
      </c>
      <c r="D34" s="129"/>
      <c r="E34" s="133">
        <f t="shared" si="0"/>
        <v>0</v>
      </c>
      <c r="F34" s="129"/>
      <c r="G34" s="133">
        <f>ROUND(F34*$C$34,2)</f>
        <v>0</v>
      </c>
      <c r="H34" s="84"/>
      <c r="I34" s="133">
        <f>ROUND(H34*$C$34,2)</f>
        <v>0</v>
      </c>
      <c r="J34" s="312"/>
      <c r="K34" s="312"/>
      <c r="L34" s="312"/>
      <c r="M34" s="314"/>
      <c r="N34" s="322" t="s">
        <v>60</v>
      </c>
      <c r="O34" s="312"/>
      <c r="P34" s="312"/>
      <c r="Q34" s="312"/>
      <c r="R34" s="312"/>
      <c r="S34" s="317"/>
    </row>
    <row r="35" spans="1:19" s="9" customFormat="1" ht="21" x14ac:dyDescent="0.4">
      <c r="A35" s="12" t="s">
        <v>194</v>
      </c>
      <c r="B35" s="398" t="s">
        <v>39</v>
      </c>
      <c r="C35" s="173">
        <v>0.05</v>
      </c>
      <c r="D35" s="129"/>
      <c r="E35" s="133">
        <f t="shared" si="0"/>
        <v>0</v>
      </c>
      <c r="F35" s="129"/>
      <c r="G35" s="133">
        <f>ROUND(F35*$C$35,2)</f>
        <v>0</v>
      </c>
      <c r="H35" s="84"/>
      <c r="I35" s="133">
        <f>ROUND(H35*$C$35,2)</f>
        <v>0</v>
      </c>
      <c r="J35" s="312"/>
      <c r="K35" s="312"/>
      <c r="L35" s="312"/>
      <c r="M35" s="314"/>
      <c r="N35" s="322" t="s">
        <v>61</v>
      </c>
      <c r="O35" s="312"/>
      <c r="P35" s="312"/>
      <c r="Q35" s="312"/>
      <c r="R35" s="312"/>
      <c r="S35" s="317"/>
    </row>
    <row r="36" spans="1:19" s="9" customFormat="1" ht="21" x14ac:dyDescent="0.4">
      <c r="A36" s="12" t="s">
        <v>195</v>
      </c>
      <c r="B36" s="398" t="s">
        <v>39</v>
      </c>
      <c r="C36" s="121">
        <v>0.05</v>
      </c>
      <c r="D36" s="129"/>
      <c r="E36" s="133">
        <f t="shared" si="0"/>
        <v>0</v>
      </c>
      <c r="F36" s="129"/>
      <c r="G36" s="133">
        <f>ROUND(F36*$C$36,2)</f>
        <v>0</v>
      </c>
      <c r="H36" s="84"/>
      <c r="I36" s="133">
        <f>ROUND(H36*$C$36,2)</f>
        <v>0</v>
      </c>
      <c r="J36" s="312"/>
      <c r="K36" s="312"/>
      <c r="L36" s="312"/>
      <c r="M36" s="314"/>
      <c r="N36" s="322" t="s">
        <v>265</v>
      </c>
      <c r="O36" s="312"/>
      <c r="P36" s="312"/>
      <c r="Q36" s="312"/>
      <c r="R36" s="312"/>
      <c r="S36" s="317"/>
    </row>
    <row r="37" spans="1:19" s="9" customFormat="1" ht="21" x14ac:dyDescent="0.4">
      <c r="A37" s="20" t="s">
        <v>196</v>
      </c>
      <c r="B37" s="398" t="s">
        <v>39</v>
      </c>
      <c r="C37" s="121">
        <v>0.05</v>
      </c>
      <c r="D37" s="129"/>
      <c r="E37" s="133">
        <f t="shared" si="0"/>
        <v>0</v>
      </c>
      <c r="F37" s="129"/>
      <c r="G37" s="133">
        <f>ROUND(F37*$C$37,2)</f>
        <v>0</v>
      </c>
      <c r="H37" s="84"/>
      <c r="I37" s="133">
        <f>ROUND(H37*$C$37,2)</f>
        <v>0</v>
      </c>
      <c r="J37" s="312"/>
      <c r="K37" s="312"/>
      <c r="L37" s="312"/>
      <c r="M37" s="314"/>
      <c r="N37" s="322" t="s">
        <v>266</v>
      </c>
      <c r="O37" s="312"/>
      <c r="P37" s="312"/>
      <c r="Q37" s="312"/>
      <c r="R37" s="312"/>
      <c r="S37" s="317"/>
    </row>
    <row r="38" spans="1:19" s="9" customFormat="1" ht="21" x14ac:dyDescent="0.4">
      <c r="A38" s="417" t="s">
        <v>66</v>
      </c>
      <c r="B38" s="277" t="s">
        <v>217</v>
      </c>
      <c r="C38" s="121">
        <v>0.1</v>
      </c>
      <c r="D38" s="129"/>
      <c r="E38" s="133">
        <f t="shared" si="0"/>
        <v>0</v>
      </c>
      <c r="F38" s="129"/>
      <c r="G38" s="133">
        <f>ROUND(F38*$C$38,2)</f>
        <v>0</v>
      </c>
      <c r="H38" s="84"/>
      <c r="I38" s="133">
        <f>ROUND(H38*$C$38,2)</f>
        <v>0</v>
      </c>
      <c r="J38" s="312"/>
      <c r="K38" s="312"/>
      <c r="L38" s="312"/>
      <c r="M38" s="314"/>
      <c r="N38" s="322" t="s">
        <v>299</v>
      </c>
      <c r="O38" s="312"/>
      <c r="P38" s="312"/>
      <c r="Q38" s="312"/>
      <c r="R38" s="312"/>
      <c r="S38" s="317"/>
    </row>
    <row r="39" spans="1:19" s="9" customFormat="1" ht="21" x14ac:dyDescent="0.4">
      <c r="A39" s="419"/>
      <c r="B39" s="277" t="s">
        <v>207</v>
      </c>
      <c r="C39" s="121">
        <v>0.1</v>
      </c>
      <c r="D39" s="129"/>
      <c r="E39" s="133">
        <f t="shared" si="0"/>
        <v>0</v>
      </c>
      <c r="F39" s="129"/>
      <c r="G39" s="133">
        <f>ROUND(F39*$C$39,2)</f>
        <v>0</v>
      </c>
      <c r="H39" s="84"/>
      <c r="I39" s="133">
        <f>ROUND(H39*$C$39,2)</f>
        <v>0</v>
      </c>
      <c r="J39" s="312"/>
      <c r="K39" s="312"/>
      <c r="L39" s="312"/>
      <c r="M39" s="312"/>
      <c r="N39" s="322" t="s">
        <v>307</v>
      </c>
      <c r="O39" s="312"/>
      <c r="P39" s="312"/>
      <c r="Q39" s="312"/>
      <c r="R39" s="312"/>
      <c r="S39" s="317"/>
    </row>
    <row r="40" spans="1:19" s="9" customFormat="1" ht="21.6" thickBot="1" x14ac:dyDescent="0.45">
      <c r="A40" s="420" t="s">
        <v>197</v>
      </c>
      <c r="B40" s="399" t="s">
        <v>243</v>
      </c>
      <c r="C40" s="123">
        <v>0.05</v>
      </c>
      <c r="D40" s="130"/>
      <c r="E40" s="68">
        <f t="shared" si="0"/>
        <v>0</v>
      </c>
      <c r="F40" s="130"/>
      <c r="G40" s="68">
        <f>ROUND(F40*$C$40,2)</f>
        <v>0</v>
      </c>
      <c r="H40" s="82"/>
      <c r="I40" s="68">
        <f>ROUND(H40*$C$40,2)</f>
        <v>0</v>
      </c>
      <c r="J40" s="312"/>
      <c r="K40" s="312"/>
      <c r="L40" s="312"/>
      <c r="M40" s="312"/>
      <c r="N40" s="312"/>
      <c r="O40" s="312"/>
      <c r="P40" s="312"/>
      <c r="Q40" s="312"/>
      <c r="R40" s="312"/>
      <c r="S40" s="317"/>
    </row>
    <row r="41" spans="1:19" s="9" customFormat="1" ht="21.6" thickBot="1" x14ac:dyDescent="0.45">
      <c r="A41" s="17" t="s">
        <v>198</v>
      </c>
      <c r="B41" s="400" t="s">
        <v>244</v>
      </c>
      <c r="C41" s="124">
        <v>7.0000000000000007E-2</v>
      </c>
      <c r="D41" s="78"/>
      <c r="E41" s="132">
        <f t="shared" si="0"/>
        <v>0</v>
      </c>
      <c r="F41" s="78"/>
      <c r="G41" s="132">
        <f>ROUND(F41*$C$41,2)</f>
        <v>0</v>
      </c>
      <c r="H41" s="85"/>
      <c r="I41" s="132">
        <f>ROUND(H41*$C$41,2)</f>
        <v>0</v>
      </c>
      <c r="J41" s="312"/>
      <c r="K41" s="312"/>
      <c r="L41" s="314"/>
      <c r="M41" s="315"/>
      <c r="N41" s="312"/>
      <c r="O41" s="312"/>
      <c r="P41" s="312"/>
      <c r="Q41" s="312"/>
      <c r="R41" s="312"/>
      <c r="S41" s="317"/>
    </row>
    <row r="42" spans="1:19" s="9" customFormat="1" ht="21.6" thickBot="1" x14ac:dyDescent="0.45">
      <c r="A42" s="12" t="s">
        <v>235</v>
      </c>
      <c r="B42" s="279" t="s">
        <v>245</v>
      </c>
      <c r="C42" s="173">
        <v>0.01</v>
      </c>
      <c r="D42" s="129"/>
      <c r="E42" s="133">
        <f>(C42*D42)/100</f>
        <v>0</v>
      </c>
      <c r="F42" s="129"/>
      <c r="G42" s="133">
        <f>(C42*F42)/100</f>
        <v>0</v>
      </c>
      <c r="H42" s="84"/>
      <c r="I42" s="133">
        <f>(C42*H42)/100</f>
        <v>0</v>
      </c>
      <c r="J42" s="312"/>
      <c r="K42" s="70" t="s">
        <v>72</v>
      </c>
      <c r="L42" s="73" t="s">
        <v>270</v>
      </c>
      <c r="M42" s="315"/>
      <c r="N42" s="312"/>
      <c r="O42" s="312"/>
      <c r="P42" s="312"/>
      <c r="Q42" s="312"/>
      <c r="R42" s="312"/>
      <c r="S42" s="317"/>
    </row>
    <row r="43" spans="1:19" s="9" customFormat="1" ht="21" x14ac:dyDescent="0.4">
      <c r="A43" s="12" t="s">
        <v>236</v>
      </c>
      <c r="B43" s="279" t="s">
        <v>245</v>
      </c>
      <c r="C43" s="121">
        <v>0.02</v>
      </c>
      <c r="D43" s="129"/>
      <c r="E43" s="133">
        <f>(C43*D43)/100</f>
        <v>0</v>
      </c>
      <c r="F43" s="129"/>
      <c r="G43" s="133">
        <f>(C43*F43)/100</f>
        <v>0</v>
      </c>
      <c r="H43" s="84"/>
      <c r="I43" s="133">
        <f>(C43*H43)/100</f>
        <v>0</v>
      </c>
      <c r="J43" s="312"/>
      <c r="K43" s="66"/>
      <c r="L43" s="73" t="s">
        <v>269</v>
      </c>
      <c r="M43" s="315"/>
      <c r="N43" s="312"/>
      <c r="O43" s="312"/>
      <c r="P43" s="312"/>
      <c r="Q43" s="312"/>
      <c r="R43" s="312"/>
      <c r="S43" s="317"/>
    </row>
    <row r="44" spans="1:19" s="9" customFormat="1" ht="21" x14ac:dyDescent="0.4">
      <c r="A44" s="28" t="s">
        <v>232</v>
      </c>
      <c r="B44" s="279" t="s">
        <v>246</v>
      </c>
      <c r="C44" s="121">
        <v>0.04</v>
      </c>
      <c r="D44" s="129"/>
      <c r="E44" s="133">
        <f t="shared" si="0"/>
        <v>0</v>
      </c>
      <c r="F44" s="129"/>
      <c r="G44" s="133">
        <f>ROUND(F44*$C$44,2)</f>
        <v>0</v>
      </c>
      <c r="H44" s="84"/>
      <c r="I44" s="133">
        <f>ROUND(H44*$C$44,2)</f>
        <v>0</v>
      </c>
      <c r="J44" s="312"/>
      <c r="K44" s="174" t="s">
        <v>75</v>
      </c>
      <c r="L44" s="175">
        <v>1</v>
      </c>
      <c r="M44" s="315"/>
      <c r="N44" s="312"/>
      <c r="O44" s="312"/>
      <c r="P44" s="312"/>
      <c r="Q44" s="312"/>
      <c r="R44" s="312"/>
      <c r="S44" s="317"/>
    </row>
    <row r="45" spans="1:19" s="9" customFormat="1" ht="21" customHeight="1" x14ac:dyDescent="0.4">
      <c r="A45" s="415" t="s">
        <v>228</v>
      </c>
      <c r="B45" s="401" t="s">
        <v>292</v>
      </c>
      <c r="C45" s="121">
        <v>0.02</v>
      </c>
      <c r="D45" s="129"/>
      <c r="E45" s="133">
        <f t="shared" si="0"/>
        <v>0</v>
      </c>
      <c r="F45" s="129"/>
      <c r="G45" s="133">
        <f>ROUND(F45*$C$45,2)</f>
        <v>0</v>
      </c>
      <c r="H45" s="84"/>
      <c r="I45" s="133">
        <f>ROUND(H45*$C$45,2)</f>
        <v>0</v>
      </c>
      <c r="J45" s="312"/>
      <c r="K45" s="174" t="s">
        <v>76</v>
      </c>
      <c r="L45" s="175">
        <v>2</v>
      </c>
      <c r="M45" s="315"/>
      <c r="N45" s="312"/>
      <c r="O45" s="312"/>
      <c r="P45" s="312"/>
      <c r="Q45" s="312"/>
      <c r="R45" s="312"/>
      <c r="S45" s="317"/>
    </row>
    <row r="46" spans="1:19" s="9" customFormat="1" ht="21" x14ac:dyDescent="0.4">
      <c r="A46" s="20" t="s">
        <v>229</v>
      </c>
      <c r="B46" s="401" t="s">
        <v>247</v>
      </c>
      <c r="C46" s="121">
        <v>0.12</v>
      </c>
      <c r="D46" s="129"/>
      <c r="E46" s="133">
        <f>(C46*D46)/1000</f>
        <v>0</v>
      </c>
      <c r="F46" s="129"/>
      <c r="G46" s="133">
        <f>(C46*F46)/1000</f>
        <v>0</v>
      </c>
      <c r="H46" s="84"/>
      <c r="I46" s="133">
        <f>(C46*H46)/1000</f>
        <v>0</v>
      </c>
      <c r="J46" s="312"/>
      <c r="K46" s="174" t="s">
        <v>77</v>
      </c>
      <c r="L46" s="175">
        <v>4</v>
      </c>
      <c r="M46" s="315"/>
      <c r="N46" s="312"/>
      <c r="O46" s="312"/>
      <c r="P46" s="312"/>
      <c r="Q46" s="312"/>
      <c r="R46" s="312"/>
      <c r="S46" s="317"/>
    </row>
    <row r="47" spans="1:19" s="9" customFormat="1" ht="21" x14ac:dyDescent="0.4">
      <c r="A47" s="417" t="s">
        <v>227</v>
      </c>
      <c r="B47" s="279" t="s">
        <v>248</v>
      </c>
      <c r="C47" s="121">
        <v>0.08</v>
      </c>
      <c r="D47" s="129"/>
      <c r="E47" s="133">
        <f>(C47*D47)/10</f>
        <v>0</v>
      </c>
      <c r="F47" s="129"/>
      <c r="G47" s="133">
        <f>(C47*F47)/10</f>
        <v>0</v>
      </c>
      <c r="H47" s="84"/>
      <c r="I47" s="133">
        <f>(C47*H47)/10</f>
        <v>0</v>
      </c>
      <c r="J47" s="312"/>
      <c r="K47" s="174" t="s">
        <v>53</v>
      </c>
      <c r="L47" s="175">
        <v>8</v>
      </c>
      <c r="M47" s="315"/>
      <c r="N47" s="312"/>
      <c r="O47" s="312"/>
      <c r="P47" s="312"/>
      <c r="Q47" s="312"/>
      <c r="R47" s="312"/>
      <c r="S47" s="317"/>
    </row>
    <row r="48" spans="1:19" s="9" customFormat="1" ht="21" x14ac:dyDescent="0.4">
      <c r="A48" s="418"/>
      <c r="B48" s="279" t="s">
        <v>249</v>
      </c>
      <c r="C48" s="121">
        <v>4.8000000000000001E-2</v>
      </c>
      <c r="D48" s="129"/>
      <c r="E48" s="133">
        <f>(C48*D48)/10</f>
        <v>0</v>
      </c>
      <c r="F48" s="129"/>
      <c r="G48" s="133">
        <f>(C48*F48)/10</f>
        <v>0</v>
      </c>
      <c r="H48" s="84"/>
      <c r="I48" s="133">
        <f>(C48*H48)/10</f>
        <v>0</v>
      </c>
      <c r="J48" s="312"/>
      <c r="K48" s="174" t="s">
        <v>80</v>
      </c>
      <c r="L48" s="175">
        <v>20</v>
      </c>
      <c r="M48" s="315"/>
      <c r="N48" s="312"/>
      <c r="O48" s="312"/>
      <c r="P48" s="312"/>
      <c r="Q48" s="312"/>
      <c r="R48" s="312"/>
      <c r="S48" s="317"/>
    </row>
    <row r="49" spans="1:19" s="9" customFormat="1" ht="21" customHeight="1" x14ac:dyDescent="0.4">
      <c r="A49" s="417" t="s">
        <v>199</v>
      </c>
      <c r="B49" s="279" t="s">
        <v>250</v>
      </c>
      <c r="C49" s="121">
        <v>0.03</v>
      </c>
      <c r="D49" s="129"/>
      <c r="E49" s="133">
        <f>C49*D49</f>
        <v>0</v>
      </c>
      <c r="F49" s="129"/>
      <c r="G49" s="133">
        <f>ROUND(F49*$C$49,2)</f>
        <v>0</v>
      </c>
      <c r="H49" s="84"/>
      <c r="I49" s="133">
        <f>ROUND(H49*$C$49,2)</f>
        <v>0</v>
      </c>
      <c r="J49" s="312"/>
      <c r="K49" s="174" t="s">
        <v>81</v>
      </c>
      <c r="L49" s="175">
        <v>30</v>
      </c>
      <c r="M49" s="315"/>
      <c r="N49" s="312"/>
      <c r="O49" s="312"/>
      <c r="P49" s="312"/>
      <c r="Q49" s="312"/>
      <c r="R49" s="312"/>
      <c r="S49" s="317"/>
    </row>
    <row r="50" spans="1:19" s="9" customFormat="1" ht="21" customHeight="1" thickBot="1" x14ac:dyDescent="0.45">
      <c r="A50" s="419"/>
      <c r="B50" s="279" t="s">
        <v>251</v>
      </c>
      <c r="C50" s="121">
        <v>0.02</v>
      </c>
      <c r="D50" s="129"/>
      <c r="E50" s="133">
        <f>C50*D50</f>
        <v>0</v>
      </c>
      <c r="F50" s="129"/>
      <c r="G50" s="133">
        <f>ROUND(F50*$C$50,2)</f>
        <v>0</v>
      </c>
      <c r="H50" s="84"/>
      <c r="I50" s="133">
        <f>ROUND(H50*$C$50,2)</f>
        <v>0</v>
      </c>
      <c r="J50" s="312"/>
      <c r="K50" s="176" t="s">
        <v>83</v>
      </c>
      <c r="L50" s="177">
        <v>60</v>
      </c>
      <c r="M50" s="315"/>
      <c r="N50" s="312"/>
      <c r="O50" s="312"/>
      <c r="P50" s="312"/>
      <c r="Q50" s="312"/>
      <c r="R50" s="312"/>
      <c r="S50" s="317"/>
    </row>
    <row r="51" spans="1:19" s="9" customFormat="1" ht="21" x14ac:dyDescent="0.4">
      <c r="A51" s="421" t="s">
        <v>230</v>
      </c>
      <c r="B51" s="279" t="s">
        <v>252</v>
      </c>
      <c r="C51" s="121">
        <v>0.25</v>
      </c>
      <c r="D51" s="129"/>
      <c r="E51" s="133">
        <f t="shared" si="0"/>
        <v>0</v>
      </c>
      <c r="F51" s="129"/>
      <c r="G51" s="133">
        <f>ROUND(F51*$C$51,2)</f>
        <v>0</v>
      </c>
      <c r="H51" s="84"/>
      <c r="I51" s="133">
        <f>ROUND(H51*$C$51,2)</f>
        <v>0</v>
      </c>
      <c r="J51" s="312"/>
      <c r="K51" s="432" t="s">
        <v>306</v>
      </c>
      <c r="L51" s="312"/>
      <c r="M51" s="315"/>
      <c r="N51" s="312"/>
      <c r="O51" s="312"/>
      <c r="P51" s="312"/>
      <c r="Q51" s="312"/>
      <c r="R51" s="312"/>
      <c r="S51" s="317"/>
    </row>
    <row r="52" spans="1:19" s="9" customFormat="1" ht="21" x14ac:dyDescent="0.4">
      <c r="A52" s="422" t="s">
        <v>200</v>
      </c>
      <c r="B52" s="279" t="s">
        <v>253</v>
      </c>
      <c r="C52" s="121">
        <v>0.5</v>
      </c>
      <c r="D52" s="129"/>
      <c r="E52" s="133">
        <f t="shared" si="0"/>
        <v>0</v>
      </c>
      <c r="F52" s="129"/>
      <c r="G52" s="133">
        <f>ROUND(F52*$C$52,2)</f>
        <v>0</v>
      </c>
      <c r="H52" s="84"/>
      <c r="I52" s="133">
        <f>ROUND(H52*$C$52,2)</f>
        <v>0</v>
      </c>
      <c r="J52" s="312"/>
      <c r="K52" s="312"/>
      <c r="L52" s="312"/>
      <c r="M52" s="315"/>
      <c r="N52" s="312"/>
      <c r="O52" s="312"/>
      <c r="P52" s="312"/>
      <c r="Q52" s="312"/>
      <c r="R52" s="312"/>
      <c r="S52" s="317"/>
    </row>
    <row r="53" spans="1:19" s="9" customFormat="1" ht="21" x14ac:dyDescent="0.4">
      <c r="A53" s="417" t="s">
        <v>201</v>
      </c>
      <c r="B53" s="279" t="s">
        <v>254</v>
      </c>
      <c r="C53" s="121">
        <v>0.95</v>
      </c>
      <c r="D53" s="129"/>
      <c r="E53" s="133">
        <f t="shared" si="0"/>
        <v>0</v>
      </c>
      <c r="F53" s="129"/>
      <c r="G53" s="133">
        <f>ROUND(F53*$C$53,2)</f>
        <v>0</v>
      </c>
      <c r="H53" s="84"/>
      <c r="I53" s="133">
        <f>ROUND(H53*$C$53,2)</f>
        <v>0</v>
      </c>
      <c r="J53" s="312"/>
      <c r="K53" s="312"/>
      <c r="L53" s="312"/>
      <c r="M53" s="315"/>
      <c r="N53" s="312"/>
      <c r="O53" s="312"/>
      <c r="P53" s="312"/>
      <c r="Q53" s="312"/>
      <c r="R53" s="312"/>
      <c r="S53" s="317"/>
    </row>
    <row r="54" spans="1:19" s="9" customFormat="1" ht="21.6" thickBot="1" x14ac:dyDescent="0.45">
      <c r="A54" s="418"/>
      <c r="B54" s="280" t="s">
        <v>255</v>
      </c>
      <c r="C54" s="125">
        <v>1.45</v>
      </c>
      <c r="D54" s="79"/>
      <c r="E54" s="134">
        <f t="shared" si="0"/>
        <v>0</v>
      </c>
      <c r="F54" s="79"/>
      <c r="G54" s="134">
        <f>ROUND(F54*$C$54,2)</f>
        <v>0</v>
      </c>
      <c r="H54" s="81"/>
      <c r="I54" s="134">
        <f>ROUND(H54*$C$54,2)</f>
        <v>0</v>
      </c>
      <c r="J54" s="312"/>
      <c r="K54" s="312"/>
      <c r="L54" s="312"/>
      <c r="M54" s="315"/>
      <c r="N54" s="312"/>
      <c r="O54" s="312"/>
      <c r="P54" s="312"/>
      <c r="Q54" s="312"/>
      <c r="R54" s="312"/>
      <c r="S54" s="317"/>
    </row>
    <row r="55" spans="1:19" s="9" customFormat="1" ht="21" x14ac:dyDescent="0.4">
      <c r="A55" s="414" t="s">
        <v>219</v>
      </c>
      <c r="B55" s="402" t="s">
        <v>218</v>
      </c>
      <c r="C55" s="127">
        <v>0.45</v>
      </c>
      <c r="D55" s="77"/>
      <c r="E55" s="131">
        <f t="shared" si="0"/>
        <v>0</v>
      </c>
      <c r="F55" s="77"/>
      <c r="G55" s="131">
        <f>ROUND(F55*$C$55,2)</f>
        <v>0</v>
      </c>
      <c r="H55" s="80"/>
      <c r="I55" s="131">
        <f>ROUND(H55*$C$55,2)</f>
        <v>0</v>
      </c>
      <c r="J55" s="312"/>
      <c r="K55" s="312"/>
      <c r="L55" s="312"/>
      <c r="M55" s="315"/>
      <c r="N55" s="312"/>
      <c r="O55" s="312"/>
      <c r="P55" s="312"/>
      <c r="Q55" s="312"/>
      <c r="R55" s="312"/>
      <c r="S55" s="317"/>
    </row>
    <row r="56" spans="1:19" s="9" customFormat="1" ht="21" x14ac:dyDescent="0.4">
      <c r="A56" s="423" t="s">
        <v>220</v>
      </c>
      <c r="B56" s="396" t="s">
        <v>226</v>
      </c>
      <c r="C56" s="121">
        <v>0.6</v>
      </c>
      <c r="D56" s="129"/>
      <c r="E56" s="133">
        <f t="shared" si="0"/>
        <v>0</v>
      </c>
      <c r="F56" s="129"/>
      <c r="G56" s="133">
        <f>ROUND(F56*$C$56,2)</f>
        <v>0</v>
      </c>
      <c r="H56" s="84"/>
      <c r="I56" s="133">
        <f>ROUND(H56*$C$56,2)</f>
        <v>0</v>
      </c>
      <c r="J56" s="312"/>
      <c r="K56" s="312"/>
      <c r="L56" s="312"/>
      <c r="M56" s="315"/>
      <c r="N56" s="312"/>
      <c r="O56" s="312"/>
      <c r="P56" s="312"/>
      <c r="Q56" s="312"/>
      <c r="R56" s="312"/>
      <c r="S56" s="317"/>
    </row>
    <row r="57" spans="1:19" s="9" customFormat="1" ht="21" x14ac:dyDescent="0.4">
      <c r="A57" s="423" t="s">
        <v>223</v>
      </c>
      <c r="B57" s="396"/>
      <c r="C57" s="121">
        <v>0.55000000000000004</v>
      </c>
      <c r="D57" s="129"/>
      <c r="E57" s="133">
        <f t="shared" si="0"/>
        <v>0</v>
      </c>
      <c r="F57" s="129"/>
      <c r="G57" s="133">
        <f>ROUND(F57*$C$57,2)</f>
        <v>0</v>
      </c>
      <c r="H57" s="84"/>
      <c r="I57" s="133">
        <f>ROUND(H57*$C$57,2)</f>
        <v>0</v>
      </c>
      <c r="J57" s="312"/>
      <c r="K57" s="312"/>
      <c r="L57" s="312"/>
      <c r="M57" s="315"/>
      <c r="N57" s="312"/>
      <c r="O57" s="312"/>
      <c r="P57" s="312"/>
      <c r="Q57" s="312"/>
      <c r="R57" s="312"/>
      <c r="S57" s="317"/>
    </row>
    <row r="58" spans="1:19" s="9" customFormat="1" ht="21" customHeight="1" x14ac:dyDescent="0.4">
      <c r="A58" s="423" t="s">
        <v>224</v>
      </c>
      <c r="B58" s="396" t="s">
        <v>221</v>
      </c>
      <c r="C58" s="121">
        <v>0.65</v>
      </c>
      <c r="D58" s="129"/>
      <c r="E58" s="133">
        <f t="shared" si="0"/>
        <v>0</v>
      </c>
      <c r="F58" s="129"/>
      <c r="G58" s="133">
        <f>ROUND(F58*$C$58,2)</f>
        <v>0</v>
      </c>
      <c r="H58" s="84"/>
      <c r="I58" s="133">
        <f>ROUND(H58*$C$58,2)</f>
        <v>0</v>
      </c>
      <c r="J58" s="312"/>
      <c r="K58" s="319"/>
      <c r="L58" s="320"/>
      <c r="M58" s="315"/>
      <c r="N58" s="312"/>
      <c r="O58" s="312"/>
      <c r="P58" s="312"/>
      <c r="Q58" s="312"/>
      <c r="R58" s="312"/>
      <c r="S58" s="317"/>
    </row>
    <row r="59" spans="1:19" s="9" customFormat="1" ht="21" customHeight="1" thickBot="1" x14ac:dyDescent="0.45">
      <c r="A59" s="424" t="s">
        <v>222</v>
      </c>
      <c r="B59" s="403" t="s">
        <v>39</v>
      </c>
      <c r="C59" s="123">
        <v>0.7</v>
      </c>
      <c r="D59" s="130"/>
      <c r="E59" s="68">
        <f t="shared" si="0"/>
        <v>0</v>
      </c>
      <c r="F59" s="130"/>
      <c r="G59" s="68">
        <f>ROUND(F59*$C$59,2)</f>
        <v>0</v>
      </c>
      <c r="H59" s="82"/>
      <c r="I59" s="68">
        <f>ROUND(H59*$C$59,2)</f>
        <v>0</v>
      </c>
      <c r="J59" s="312"/>
      <c r="K59" s="319"/>
      <c r="L59" s="320"/>
      <c r="M59" s="315"/>
      <c r="N59" s="312"/>
      <c r="O59" s="312"/>
      <c r="P59" s="312"/>
      <c r="Q59" s="312"/>
      <c r="R59" s="312"/>
      <c r="S59" s="317"/>
    </row>
    <row r="60" spans="1:19" s="9" customFormat="1" ht="21" x14ac:dyDescent="0.4">
      <c r="A60" s="425" t="s">
        <v>212</v>
      </c>
      <c r="B60" s="404" t="s">
        <v>256</v>
      </c>
      <c r="C60" s="127">
        <v>1E-3</v>
      </c>
      <c r="D60" s="77"/>
      <c r="E60" s="131">
        <f>(C60*D60)/100</f>
        <v>0</v>
      </c>
      <c r="F60" s="77"/>
      <c r="G60" s="131">
        <f>(F60*$C$60)/100</f>
        <v>0</v>
      </c>
      <c r="H60" s="80"/>
      <c r="I60" s="131">
        <f>(C60*H60)/100</f>
        <v>0</v>
      </c>
      <c r="J60" s="312"/>
      <c r="K60" s="312"/>
      <c r="L60" s="314"/>
      <c r="M60" s="315"/>
      <c r="N60" s="312"/>
      <c r="O60" s="312"/>
      <c r="P60" s="312"/>
      <c r="Q60" s="312"/>
      <c r="R60" s="312"/>
      <c r="S60" s="317"/>
    </row>
    <row r="61" spans="1:19" s="9" customFormat="1" ht="21" x14ac:dyDescent="0.4">
      <c r="A61" s="28" t="s">
        <v>213</v>
      </c>
      <c r="B61" s="279" t="s">
        <v>257</v>
      </c>
      <c r="C61" s="121">
        <v>0.01</v>
      </c>
      <c r="D61" s="129"/>
      <c r="E61" s="133">
        <f>(C61*D61)/100</f>
        <v>0</v>
      </c>
      <c r="F61" s="129"/>
      <c r="G61" s="133">
        <f>(C61*F61)/100</f>
        <v>0</v>
      </c>
      <c r="H61" s="84"/>
      <c r="I61" s="133">
        <f>(C61*H61)/100</f>
        <v>0</v>
      </c>
      <c r="J61" s="312"/>
      <c r="K61" s="312"/>
      <c r="L61" s="314"/>
      <c r="M61" s="315"/>
      <c r="N61" s="312"/>
      <c r="O61" s="312"/>
      <c r="P61" s="312"/>
      <c r="Q61" s="312"/>
      <c r="R61" s="312"/>
      <c r="S61" s="317"/>
    </row>
    <row r="62" spans="1:19" s="9" customFormat="1" ht="21" x14ac:dyDescent="0.4">
      <c r="A62" s="28" t="s">
        <v>210</v>
      </c>
      <c r="B62" s="405" t="s">
        <v>234</v>
      </c>
      <c r="C62" s="121">
        <v>0.1</v>
      </c>
      <c r="D62" s="129"/>
      <c r="E62" s="133">
        <f t="shared" si="0"/>
        <v>0</v>
      </c>
      <c r="F62" s="91" t="s">
        <v>74</v>
      </c>
      <c r="G62" s="133">
        <v>0</v>
      </c>
      <c r="H62" s="90"/>
      <c r="I62" s="133">
        <f>ROUND(H62*$C$62,2)</f>
        <v>0</v>
      </c>
      <c r="J62" s="312"/>
      <c r="K62" s="312"/>
      <c r="L62" s="314"/>
      <c r="M62" s="315"/>
      <c r="N62" s="312"/>
      <c r="O62" s="312"/>
      <c r="P62" s="312"/>
      <c r="Q62" s="312"/>
      <c r="R62" s="312"/>
      <c r="S62" s="317"/>
    </row>
    <row r="63" spans="1:19" s="9" customFormat="1" ht="21" x14ac:dyDescent="0.4">
      <c r="A63" s="28" t="s">
        <v>211</v>
      </c>
      <c r="B63" s="279" t="s">
        <v>258</v>
      </c>
      <c r="C63" s="121">
        <v>0.02</v>
      </c>
      <c r="D63" s="129"/>
      <c r="E63" s="133">
        <f>(C63*D63)/1000</f>
        <v>0</v>
      </c>
      <c r="F63" s="129"/>
      <c r="G63" s="133">
        <f>(C63*F63)/1000</f>
        <v>0</v>
      </c>
      <c r="H63" s="84"/>
      <c r="I63" s="133">
        <f>(C63*H63)/1000</f>
        <v>0</v>
      </c>
      <c r="J63" s="312"/>
      <c r="K63" s="312"/>
      <c r="L63" s="314"/>
      <c r="M63" s="315"/>
      <c r="N63" s="312"/>
      <c r="O63" s="312"/>
      <c r="P63" s="312"/>
      <c r="Q63" s="312"/>
      <c r="R63" s="312"/>
      <c r="S63" s="317"/>
    </row>
    <row r="64" spans="1:19" s="9" customFormat="1" ht="21.6" thickBot="1" x14ac:dyDescent="0.45">
      <c r="A64" s="178" t="s">
        <v>231</v>
      </c>
      <c r="B64" s="406" t="s">
        <v>259</v>
      </c>
      <c r="C64" s="123">
        <v>0.02</v>
      </c>
      <c r="D64" s="130"/>
      <c r="E64" s="68">
        <f>(C64*D64)/100</f>
        <v>0</v>
      </c>
      <c r="F64" s="130"/>
      <c r="G64" s="68">
        <f>ROUND(F64*$C$64,2)/100</f>
        <v>0</v>
      </c>
      <c r="H64" s="82"/>
      <c r="I64" s="68">
        <f>(C64*H64)/100</f>
        <v>0</v>
      </c>
      <c r="J64" s="312"/>
      <c r="K64" s="312"/>
      <c r="L64" s="314"/>
      <c r="M64" s="315"/>
      <c r="N64" s="312"/>
      <c r="O64" s="312"/>
      <c r="P64" s="312"/>
      <c r="Q64" s="312"/>
      <c r="R64" s="312"/>
      <c r="S64" s="317"/>
    </row>
    <row r="65" spans="1:19" s="9" customFormat="1" ht="21" x14ac:dyDescent="0.4">
      <c r="A65" s="421" t="s">
        <v>51</v>
      </c>
      <c r="B65" s="407" t="s">
        <v>237</v>
      </c>
      <c r="C65" s="124">
        <v>0.08</v>
      </c>
      <c r="D65" s="78"/>
      <c r="E65" s="132">
        <f t="shared" si="0"/>
        <v>0</v>
      </c>
      <c r="F65" s="78"/>
      <c r="G65" s="132">
        <f>ROUND(F65*$C$65,2)</f>
        <v>0</v>
      </c>
      <c r="H65" s="85"/>
      <c r="I65" s="132">
        <f>ROUND(H65*$C$65,2)</f>
        <v>0</v>
      </c>
      <c r="J65" s="312"/>
      <c r="K65" s="312"/>
      <c r="L65" s="314"/>
      <c r="M65" s="315"/>
      <c r="N65" s="312"/>
      <c r="O65" s="312"/>
      <c r="P65" s="312"/>
      <c r="Q65" s="312"/>
      <c r="R65" s="312"/>
      <c r="S65" s="317"/>
    </row>
    <row r="66" spans="1:19" s="9" customFormat="1" ht="21" x14ac:dyDescent="0.4">
      <c r="A66" s="28" t="s">
        <v>203</v>
      </c>
      <c r="B66" s="408" t="s">
        <v>238</v>
      </c>
      <c r="C66" s="121">
        <v>0.08</v>
      </c>
      <c r="D66" s="129"/>
      <c r="E66" s="133">
        <f t="shared" si="0"/>
        <v>0</v>
      </c>
      <c r="F66" s="129"/>
      <c r="G66" s="133">
        <f>ROUND(F66*$C$66,2)</f>
        <v>0</v>
      </c>
      <c r="H66" s="84"/>
      <c r="I66" s="133">
        <f>ROUND(H66*$C$66,2)</f>
        <v>0</v>
      </c>
      <c r="J66" s="312"/>
      <c r="K66" s="312"/>
      <c r="L66" s="314"/>
      <c r="M66" s="315"/>
      <c r="N66" s="312"/>
      <c r="O66" s="312"/>
      <c r="P66" s="312"/>
      <c r="Q66" s="312"/>
      <c r="R66" s="312"/>
      <c r="S66" s="317"/>
    </row>
    <row r="67" spans="1:19" s="9" customFormat="1" ht="21" x14ac:dyDescent="0.4">
      <c r="A67" s="422" t="s">
        <v>204</v>
      </c>
      <c r="B67" s="408" t="s">
        <v>239</v>
      </c>
      <c r="C67" s="121">
        <v>0.05</v>
      </c>
      <c r="D67" s="129"/>
      <c r="E67" s="133">
        <f t="shared" si="0"/>
        <v>0</v>
      </c>
      <c r="F67" s="129"/>
      <c r="G67" s="133">
        <f>ROUND(F67*$C$67,2)</f>
        <v>0</v>
      </c>
      <c r="H67" s="84"/>
      <c r="I67" s="133">
        <f>ROUND(H67*$C$67,2)</f>
        <v>0</v>
      </c>
      <c r="J67" s="312"/>
      <c r="K67" s="312"/>
      <c r="L67" s="314"/>
      <c r="M67" s="315"/>
      <c r="N67" s="312"/>
      <c r="O67" s="312"/>
      <c r="P67" s="312"/>
      <c r="Q67" s="312"/>
      <c r="R67" s="312"/>
      <c r="S67" s="317"/>
    </row>
    <row r="68" spans="1:19" s="9" customFormat="1" ht="21" customHeight="1" x14ac:dyDescent="0.4">
      <c r="A68" s="426" t="s">
        <v>205</v>
      </c>
      <c r="B68" s="279" t="s">
        <v>290</v>
      </c>
      <c r="C68" s="121">
        <v>1.5</v>
      </c>
      <c r="D68" s="129"/>
      <c r="E68" s="133">
        <f>(C68*D68)/1000</f>
        <v>0</v>
      </c>
      <c r="F68" s="129"/>
      <c r="G68" s="133">
        <f>(C68*F68)/1000</f>
        <v>0</v>
      </c>
      <c r="H68" s="84"/>
      <c r="I68" s="133">
        <f>(C68*H68)/1000</f>
        <v>0</v>
      </c>
      <c r="J68" s="312"/>
      <c r="K68" s="364"/>
      <c r="L68" s="365"/>
      <c r="M68" s="366"/>
      <c r="N68" s="366"/>
      <c r="O68" s="366"/>
      <c r="P68" s="366"/>
      <c r="Q68" s="366"/>
      <c r="R68" s="366"/>
      <c r="S68" s="317"/>
    </row>
    <row r="69" spans="1:19" s="9" customFormat="1" ht="21" x14ac:dyDescent="0.4">
      <c r="A69" s="419"/>
      <c r="B69" s="279" t="s">
        <v>291</v>
      </c>
      <c r="C69" s="121">
        <v>3.9</v>
      </c>
      <c r="D69" s="129"/>
      <c r="E69" s="133">
        <f>(C69*D69)/1000</f>
        <v>0</v>
      </c>
      <c r="F69" s="129"/>
      <c r="G69" s="133">
        <f>(C69*F69)/1000</f>
        <v>0</v>
      </c>
      <c r="H69" s="84"/>
      <c r="I69" s="133">
        <f>(C69*H69)/1000</f>
        <v>0</v>
      </c>
      <c r="J69" s="312"/>
      <c r="K69" s="312"/>
      <c r="L69" s="314"/>
      <c r="M69" s="315"/>
      <c r="N69" s="312"/>
      <c r="O69" s="312"/>
      <c r="P69" s="312"/>
      <c r="Q69" s="312"/>
      <c r="R69" s="312"/>
      <c r="S69" s="317"/>
    </row>
    <row r="70" spans="1:19" s="9" customFormat="1" ht="21.6" thickBot="1" x14ac:dyDescent="0.45">
      <c r="A70" s="427" t="s">
        <v>71</v>
      </c>
      <c r="B70" s="409" t="s">
        <v>209</v>
      </c>
      <c r="C70" s="123">
        <v>0.01</v>
      </c>
      <c r="D70" s="130"/>
      <c r="E70" s="68">
        <f t="shared" si="0"/>
        <v>0</v>
      </c>
      <c r="F70" s="130"/>
      <c r="G70" s="68">
        <f>ROUND(F70*$C$70,2)</f>
        <v>0</v>
      </c>
      <c r="H70" s="82"/>
      <c r="I70" s="68">
        <f>ROUND(H70*$C$70,2)</f>
        <v>0</v>
      </c>
      <c r="J70" s="312"/>
      <c r="K70" s="312"/>
      <c r="L70" s="314"/>
      <c r="M70" s="315"/>
      <c r="N70" s="312"/>
      <c r="O70" s="312"/>
      <c r="P70" s="312"/>
      <c r="Q70" s="312"/>
      <c r="R70" s="312"/>
      <c r="S70" s="317"/>
    </row>
    <row r="71" spans="1:19" s="9" customFormat="1" ht="29.1" customHeight="1" thickBot="1" x14ac:dyDescent="0.55000000000000004">
      <c r="A71" s="86"/>
      <c r="B71" s="410"/>
      <c r="C71" s="122"/>
      <c r="D71" s="87"/>
      <c r="E71" s="88" t="s">
        <v>263</v>
      </c>
      <c r="F71" s="89"/>
      <c r="G71" s="88"/>
      <c r="H71" s="89"/>
      <c r="I71" s="88"/>
      <c r="J71" s="312"/>
      <c r="K71" s="312"/>
      <c r="L71" s="312"/>
      <c r="M71" s="315"/>
      <c r="N71" s="312"/>
      <c r="O71" s="312"/>
      <c r="P71" s="312"/>
      <c r="Q71" s="312"/>
      <c r="R71" s="312"/>
      <c r="S71" s="317"/>
    </row>
    <row r="72" spans="1:19" s="9" customFormat="1" ht="21" x14ac:dyDescent="0.4">
      <c r="A72" s="425" t="s">
        <v>68</v>
      </c>
      <c r="B72" s="395" t="s">
        <v>39</v>
      </c>
      <c r="C72" s="127">
        <v>0.2</v>
      </c>
      <c r="D72" s="77"/>
      <c r="E72" s="131">
        <f>ROUND((C72*D72),2)</f>
        <v>0</v>
      </c>
      <c r="F72" s="77"/>
      <c r="G72" s="131">
        <f>ROUND(F72*$C$72,2)</f>
        <v>0</v>
      </c>
      <c r="H72" s="80"/>
      <c r="I72" s="131">
        <f>ROUND(H72*$C$72,2)</f>
        <v>0</v>
      </c>
      <c r="J72" s="312"/>
      <c r="K72" s="312"/>
      <c r="L72" s="314"/>
      <c r="M72" s="315"/>
      <c r="N72" s="312"/>
      <c r="O72" s="312"/>
      <c r="P72" s="312"/>
      <c r="Q72" s="312"/>
      <c r="R72" s="312"/>
      <c r="S72" s="317"/>
    </row>
    <row r="73" spans="1:19" s="9" customFormat="1" ht="21" x14ac:dyDescent="0.4">
      <c r="A73" s="28" t="s">
        <v>69</v>
      </c>
      <c r="B73" s="393" t="s">
        <v>39</v>
      </c>
      <c r="C73" s="121">
        <v>0.1</v>
      </c>
      <c r="D73" s="129"/>
      <c r="E73" s="133">
        <f>ROUND((C73*D73),2)</f>
        <v>0</v>
      </c>
      <c r="F73" s="129"/>
      <c r="G73" s="133">
        <f>ROUND(F73*$C$73,2)</f>
        <v>0</v>
      </c>
      <c r="H73" s="84"/>
      <c r="I73" s="133">
        <f>ROUND(H73*$C$73,2)</f>
        <v>0</v>
      </c>
      <c r="J73" s="312"/>
      <c r="K73" s="312"/>
      <c r="L73" s="314"/>
      <c r="M73" s="315"/>
      <c r="N73" s="312"/>
      <c r="O73" s="312"/>
      <c r="P73" s="312"/>
      <c r="Q73" s="312"/>
      <c r="R73" s="312"/>
      <c r="S73" s="317"/>
    </row>
    <row r="74" spans="1:19" s="9" customFormat="1" ht="21.6" thickBot="1" x14ac:dyDescent="0.45">
      <c r="A74" s="28" t="s">
        <v>70</v>
      </c>
      <c r="B74" s="393" t="s">
        <v>39</v>
      </c>
      <c r="C74" s="121">
        <v>0.05</v>
      </c>
      <c r="D74" s="129"/>
      <c r="E74" s="133">
        <f>ROUND((C74*D74),2)</f>
        <v>0</v>
      </c>
      <c r="F74" s="129"/>
      <c r="G74" s="133">
        <f>ROUND(F74*$C$74,2)</f>
        <v>0</v>
      </c>
      <c r="H74" s="84"/>
      <c r="I74" s="133">
        <f>ROUND(H74*$C$74,2)</f>
        <v>0</v>
      </c>
      <c r="J74" s="312"/>
      <c r="K74" s="312"/>
      <c r="L74" s="314"/>
      <c r="M74" s="315"/>
      <c r="N74" s="312"/>
      <c r="O74" s="312"/>
      <c r="P74" s="312"/>
      <c r="Q74" s="312"/>
      <c r="R74" s="312"/>
      <c r="S74" s="317"/>
    </row>
    <row r="75" spans="1:19" s="9" customFormat="1" ht="21" x14ac:dyDescent="0.4">
      <c r="A75" s="413" t="s">
        <v>214</v>
      </c>
      <c r="B75" s="404" t="s">
        <v>260</v>
      </c>
      <c r="C75" s="127">
        <v>0.01</v>
      </c>
      <c r="D75" s="77"/>
      <c r="E75" s="131">
        <f>(C75*D75)/100</f>
        <v>0</v>
      </c>
      <c r="F75" s="479">
        <f>'Outdoor Water Budget Worksheet'!G59</f>
        <v>0</v>
      </c>
      <c r="G75" s="131">
        <f>(C75*F75)/100</f>
        <v>0</v>
      </c>
      <c r="H75" s="168"/>
      <c r="I75" s="131">
        <f>(C75*H75)/100</f>
        <v>0</v>
      </c>
      <c r="J75" s="312"/>
      <c r="K75" s="312"/>
      <c r="L75" s="312"/>
      <c r="M75" s="312"/>
      <c r="N75" s="312"/>
      <c r="O75" s="312"/>
      <c r="P75" s="312"/>
      <c r="Q75" s="312"/>
      <c r="R75" s="312"/>
      <c r="S75" s="317"/>
    </row>
    <row r="76" spans="1:19" s="9" customFormat="1" ht="21" x14ac:dyDescent="0.4">
      <c r="A76" s="14" t="s">
        <v>215</v>
      </c>
      <c r="B76" s="279" t="s">
        <v>245</v>
      </c>
      <c r="C76" s="122">
        <v>5.0000000000000001E-3</v>
      </c>
      <c r="D76" s="129"/>
      <c r="E76" s="134">
        <f>(C76*D76)/100</f>
        <v>0</v>
      </c>
      <c r="F76" s="480">
        <f>'Outdoor Water Budget Worksheet'!G61</f>
        <v>0</v>
      </c>
      <c r="G76" s="134">
        <f>(C76*F76)/100</f>
        <v>0</v>
      </c>
      <c r="H76" s="167"/>
      <c r="I76" s="133">
        <f>(C76*H76)/100</f>
        <v>0</v>
      </c>
      <c r="J76" s="312"/>
      <c r="K76" s="312"/>
      <c r="L76" s="312"/>
      <c r="M76" s="312"/>
      <c r="N76" s="312"/>
      <c r="O76" s="312"/>
      <c r="P76" s="312"/>
      <c r="Q76" s="312"/>
      <c r="R76" s="312"/>
      <c r="S76" s="317"/>
    </row>
    <row r="77" spans="1:19" s="9" customFormat="1" ht="21.6" thickBot="1" x14ac:dyDescent="0.45">
      <c r="A77" s="12" t="s">
        <v>216</v>
      </c>
      <c r="B77" s="406" t="s">
        <v>256</v>
      </c>
      <c r="C77" s="123">
        <v>1E-3</v>
      </c>
      <c r="D77" s="130"/>
      <c r="E77" s="68">
        <f>(C77*D77)/100</f>
        <v>0</v>
      </c>
      <c r="F77" s="481">
        <f>'Outdoor Water Budget Worksheet'!G60</f>
        <v>0</v>
      </c>
      <c r="G77" s="68">
        <f>(C77*F77)/100</f>
        <v>0</v>
      </c>
      <c r="H77" s="166"/>
      <c r="I77" s="68">
        <f>(C77*H77)/100</f>
        <v>0</v>
      </c>
      <c r="J77" s="312"/>
      <c r="K77" s="312"/>
      <c r="L77" s="312"/>
      <c r="M77" s="312"/>
      <c r="N77" s="312"/>
      <c r="O77" s="312"/>
      <c r="P77" s="312"/>
      <c r="Q77" s="312"/>
      <c r="R77" s="312"/>
      <c r="S77" s="317"/>
    </row>
    <row r="78" spans="1:19" s="9" customFormat="1" ht="21.6" thickBot="1" x14ac:dyDescent="0.45">
      <c r="A78" s="113" t="s">
        <v>73</v>
      </c>
      <c r="B78" s="411" t="s">
        <v>234</v>
      </c>
      <c r="C78" s="433">
        <v>0.1</v>
      </c>
      <c r="D78" s="434"/>
      <c r="E78" s="163">
        <f>C78*D78</f>
        <v>0</v>
      </c>
      <c r="F78" s="83" t="s">
        <v>74</v>
      </c>
      <c r="G78" s="163">
        <v>0</v>
      </c>
      <c r="H78" s="165"/>
      <c r="I78" s="132">
        <f>C78*H78</f>
        <v>0</v>
      </c>
      <c r="J78" s="312"/>
      <c r="K78" s="312"/>
      <c r="L78" s="312"/>
      <c r="M78" s="312"/>
      <c r="N78" s="312"/>
      <c r="O78" s="312"/>
      <c r="P78" s="312"/>
      <c r="Q78" s="312"/>
      <c r="R78" s="312"/>
      <c r="S78" s="317"/>
    </row>
    <row r="79" spans="1:19" s="9" customFormat="1" ht="21" x14ac:dyDescent="0.4">
      <c r="A79" s="12" t="s">
        <v>298</v>
      </c>
      <c r="B79" s="401" t="s">
        <v>261</v>
      </c>
      <c r="C79" s="121">
        <v>0.02</v>
      </c>
      <c r="D79" s="435"/>
      <c r="E79" s="132">
        <f>(C79*D79)/100</f>
        <v>0</v>
      </c>
      <c r="F79" s="482">
        <f>'Outdoor Water Budget Worksheet'!E37</f>
        <v>0</v>
      </c>
      <c r="G79" s="132">
        <f>ROUND((C79*F79)/100,2)</f>
        <v>0</v>
      </c>
      <c r="H79" s="164"/>
      <c r="I79" s="132">
        <f>ROUND((H79/100)*$C$79,2)</f>
        <v>0</v>
      </c>
      <c r="J79" s="312"/>
      <c r="K79" s="312"/>
      <c r="L79" s="312"/>
      <c r="M79" s="312"/>
      <c r="N79" s="312"/>
      <c r="O79" s="312"/>
      <c r="P79" s="312"/>
      <c r="Q79" s="312"/>
      <c r="R79" s="312"/>
      <c r="S79" s="317"/>
    </row>
    <row r="80" spans="1:19" s="9" customFormat="1" ht="21.6" thickBot="1" x14ac:dyDescent="0.45">
      <c r="A80" s="178" t="s">
        <v>182</v>
      </c>
      <c r="B80" s="406" t="s">
        <v>262</v>
      </c>
      <c r="C80" s="123">
        <v>0.02</v>
      </c>
      <c r="D80" s="436"/>
      <c r="E80" s="68">
        <f>(C80*D80)/1000</f>
        <v>0</v>
      </c>
      <c r="F80" s="482">
        <f>'Outdoor Water Budget Worksheet'!E38</f>
        <v>0</v>
      </c>
      <c r="G80" s="68">
        <f>ROUND((C80*F80)/1000,2)</f>
        <v>0</v>
      </c>
      <c r="H80" s="166"/>
      <c r="I80" s="68">
        <f>ROUND((H80/1000)*$C$80,2)</f>
        <v>0</v>
      </c>
      <c r="J80" s="312"/>
      <c r="K80" s="312"/>
      <c r="L80" s="312"/>
      <c r="M80" s="312"/>
      <c r="N80" s="312"/>
      <c r="O80" s="312"/>
      <c r="P80" s="312"/>
      <c r="Q80" s="312"/>
      <c r="R80" s="312"/>
      <c r="S80" s="317"/>
    </row>
    <row r="81" spans="1:19" s="9" customFormat="1" ht="21.6" thickBot="1" x14ac:dyDescent="0.45">
      <c r="A81" s="4"/>
      <c r="B81" s="295"/>
      <c r="C81" s="1"/>
      <c r="D81" s="437" t="s">
        <v>308</v>
      </c>
      <c r="E81" s="454">
        <f>ROUND(SUM(E22:E80),2)</f>
        <v>0</v>
      </c>
      <c r="F81" s="69" t="s">
        <v>311</v>
      </c>
      <c r="G81" s="452">
        <f>ROUND(SUM(G22:G80),2)</f>
        <v>0</v>
      </c>
      <c r="H81" s="455" t="s">
        <v>316</v>
      </c>
      <c r="I81" s="456"/>
      <c r="J81" s="312"/>
      <c r="K81" s="312"/>
      <c r="L81" s="312"/>
      <c r="M81" s="312"/>
      <c r="N81" s="312"/>
      <c r="O81" s="312"/>
      <c r="P81" s="312"/>
      <c r="Q81" s="312"/>
      <c r="R81" s="312"/>
      <c r="S81" s="317"/>
    </row>
    <row r="82" spans="1:19" s="9" customFormat="1" ht="21.6" thickBot="1" x14ac:dyDescent="0.45">
      <c r="A82" s="4"/>
      <c r="B82" s="295"/>
      <c r="D82" s="437" t="s">
        <v>309</v>
      </c>
      <c r="E82" s="438" t="str">
        <f>IF(E18=0,"Located on Water Bill",E18)</f>
        <v>Located on Water Bill</v>
      </c>
      <c r="F82" s="69" t="s">
        <v>312</v>
      </c>
      <c r="G82" s="453">
        <f>IF(E17="",0,IF(E17="YES",E18+(G81-E81),G81))</f>
        <v>0</v>
      </c>
      <c r="H82" s="69" t="s">
        <v>315</v>
      </c>
      <c r="I82" s="483">
        <f>ROUND((SUM(I22:I80)),2)</f>
        <v>0</v>
      </c>
      <c r="J82" s="312"/>
      <c r="K82" s="312"/>
      <c r="L82" s="312"/>
      <c r="M82" s="312"/>
      <c r="N82" s="312"/>
      <c r="O82" s="312"/>
      <c r="P82" s="312"/>
      <c r="Q82" s="312"/>
      <c r="R82" s="312"/>
      <c r="S82" s="317"/>
    </row>
    <row r="83" spans="1:19" s="9" customFormat="1" ht="21.6" thickBot="1" x14ac:dyDescent="0.45">
      <c r="A83" s="179"/>
      <c r="B83" s="327"/>
      <c r="C83" s="1"/>
      <c r="D83" s="1"/>
      <c r="E83" s="465"/>
      <c r="F83" s="465"/>
      <c r="G83" s="465"/>
      <c r="H83" s="465"/>
      <c r="I83" s="465"/>
      <c r="J83" s="312"/>
      <c r="K83" s="312"/>
      <c r="L83" s="312"/>
      <c r="M83" s="312"/>
      <c r="N83" s="312"/>
      <c r="O83" s="312"/>
      <c r="P83" s="312"/>
      <c r="Q83" s="312"/>
      <c r="R83" s="312"/>
      <c r="S83" s="317"/>
    </row>
    <row r="84" spans="1:19" s="9" customFormat="1" ht="31.8" thickBot="1" x14ac:dyDescent="0.45">
      <c r="A84" s="439" t="s">
        <v>183</v>
      </c>
      <c r="B84" s="442"/>
      <c r="C84" s="1"/>
      <c r="D84" s="1"/>
      <c r="E84" s="312"/>
      <c r="F84" s="312"/>
      <c r="G84" s="312"/>
      <c r="H84" s="1"/>
      <c r="I84" s="287"/>
      <c r="J84" s="312"/>
      <c r="K84" s="358" t="s">
        <v>296</v>
      </c>
      <c r="L84" s="359"/>
      <c r="M84" s="359"/>
      <c r="N84" s="359"/>
      <c r="O84" s="359"/>
      <c r="P84" s="359"/>
      <c r="Q84" s="360"/>
      <c r="R84" s="428"/>
      <c r="S84" s="317"/>
    </row>
    <row r="85" spans="1:19" s="9" customFormat="1" ht="37.200000000000003" thickBot="1" x14ac:dyDescent="0.75">
      <c r="A85" s="429" t="s">
        <v>88</v>
      </c>
      <c r="B85" s="449"/>
      <c r="C85" s="1"/>
      <c r="D85" s="1"/>
      <c r="E85" s="74"/>
      <c r="F85" s="75" t="s">
        <v>82</v>
      </c>
      <c r="G85" s="76"/>
      <c r="H85" s="1"/>
      <c r="I85" s="287"/>
      <c r="J85" s="312"/>
      <c r="K85" s="361" t="s">
        <v>297</v>
      </c>
      <c r="L85" s="362"/>
      <c r="M85" s="362"/>
      <c r="N85" s="362"/>
      <c r="O85" s="362"/>
      <c r="P85" s="362"/>
      <c r="Q85" s="363"/>
      <c r="R85" s="428"/>
      <c r="S85" s="317"/>
    </row>
    <row r="86" spans="1:19" s="9" customFormat="1" ht="21" x14ac:dyDescent="0.4">
      <c r="A86" s="440" t="s">
        <v>84</v>
      </c>
      <c r="B86" s="444" t="str">
        <f>IF($E$19="","",MID($E$19,2,1))</f>
        <v/>
      </c>
      <c r="C86" s="1"/>
      <c r="D86" s="1"/>
      <c r="E86" s="466"/>
      <c r="F86" s="467"/>
      <c r="G86" s="468"/>
      <c r="H86" s="328"/>
      <c r="I86" s="329"/>
      <c r="J86" s="1"/>
      <c r="K86" s="312"/>
      <c r="L86" s="312"/>
      <c r="M86" s="312"/>
      <c r="N86" s="312"/>
      <c r="O86" s="312"/>
      <c r="P86" s="312"/>
      <c r="Q86" s="312"/>
      <c r="R86" s="312"/>
      <c r="S86" s="317"/>
    </row>
    <row r="87" spans="1:19" s="9" customFormat="1" ht="21" x14ac:dyDescent="0.4">
      <c r="A87" s="440" t="s">
        <v>85</v>
      </c>
      <c r="B87" s="448" t="str">
        <f ca="1">IF(B86="","",OFFSET($S$8,B86,0))</f>
        <v/>
      </c>
      <c r="C87" s="1"/>
      <c r="D87" s="1"/>
      <c r="E87" s="469"/>
      <c r="F87" s="470"/>
      <c r="G87" s="471"/>
      <c r="H87" s="323"/>
      <c r="I87" s="330"/>
      <c r="J87" s="323"/>
      <c r="K87" s="323"/>
      <c r="L87" s="312"/>
      <c r="M87" s="312"/>
      <c r="N87" s="312"/>
      <c r="O87" s="312"/>
      <c r="P87" s="312"/>
      <c r="Q87" s="312"/>
      <c r="R87" s="312"/>
      <c r="S87" s="317"/>
    </row>
    <row r="88" spans="1:19" s="9" customFormat="1" ht="21" x14ac:dyDescent="0.4">
      <c r="A88" s="443" t="s">
        <v>313</v>
      </c>
      <c r="B88" s="450"/>
      <c r="C88" s="1"/>
      <c r="D88" s="1"/>
      <c r="E88" s="469"/>
      <c r="F88" s="470"/>
      <c r="G88" s="471"/>
      <c r="H88" s="323"/>
      <c r="I88" s="330"/>
      <c r="J88" s="323"/>
      <c r="K88" s="323"/>
      <c r="L88" s="312"/>
      <c r="M88" s="312"/>
      <c r="N88" s="312"/>
      <c r="O88" s="312"/>
      <c r="P88" s="312"/>
      <c r="Q88" s="312"/>
      <c r="R88" s="312"/>
      <c r="S88" s="317"/>
    </row>
    <row r="89" spans="1:19" s="9" customFormat="1" ht="21" x14ac:dyDescent="0.4">
      <c r="A89" s="440" t="s">
        <v>86</v>
      </c>
      <c r="B89" s="445" t="str">
        <f>IF($E$18 = "","",$E$18)</f>
        <v/>
      </c>
      <c r="C89" s="1"/>
      <c r="D89" s="1"/>
      <c r="E89" s="469"/>
      <c r="F89" s="470"/>
      <c r="G89" s="471"/>
      <c r="H89" s="323"/>
      <c r="I89" s="330"/>
      <c r="J89" s="323"/>
      <c r="K89" s="323"/>
      <c r="L89" s="312"/>
      <c r="M89" s="312"/>
      <c r="N89" s="312"/>
      <c r="O89" s="312"/>
      <c r="P89" s="312"/>
      <c r="Q89" s="312"/>
      <c r="R89" s="312"/>
      <c r="S89" s="317"/>
    </row>
    <row r="90" spans="1:19" s="9" customFormat="1" ht="21" x14ac:dyDescent="0.4">
      <c r="A90" s="440" t="s">
        <v>310</v>
      </c>
      <c r="B90" s="451" t="str">
        <f>IF(G82=0,"",G82)</f>
        <v/>
      </c>
      <c r="C90" s="1"/>
      <c r="D90" s="1"/>
      <c r="E90" s="469"/>
      <c r="F90" s="470"/>
      <c r="G90" s="471"/>
      <c r="H90" s="331"/>
      <c r="I90" s="332"/>
      <c r="J90" s="323"/>
      <c r="K90" s="323"/>
      <c r="L90" s="312"/>
      <c r="M90" s="312"/>
      <c r="N90" s="312"/>
      <c r="O90" s="312"/>
      <c r="P90" s="312"/>
      <c r="Q90" s="312"/>
      <c r="R90" s="312"/>
      <c r="S90" s="317"/>
    </row>
    <row r="91" spans="1:19" ht="21" x14ac:dyDescent="0.4">
      <c r="A91" s="440" t="s">
        <v>89</v>
      </c>
      <c r="B91" s="446" t="str">
        <f>IF(B89="","",IF($G$82=0,"",IF(B85="Substantial",$G$81,$G$82-E82)))</f>
        <v/>
      </c>
      <c r="C91" s="1"/>
      <c r="D91" s="1"/>
      <c r="E91" s="469"/>
      <c r="F91" s="470"/>
      <c r="G91" s="471"/>
      <c r="H91" s="331"/>
      <c r="I91" s="332"/>
      <c r="J91" s="324"/>
      <c r="K91" s="312"/>
      <c r="L91" s="1"/>
      <c r="M91" s="1"/>
      <c r="N91" s="312"/>
      <c r="O91" s="1"/>
      <c r="P91" s="1"/>
      <c r="Q91" s="1"/>
      <c r="R91" s="1"/>
      <c r="S91" s="24"/>
    </row>
    <row r="92" spans="1:19" ht="21.6" thickBot="1" x14ac:dyDescent="0.45">
      <c r="A92" s="441" t="s">
        <v>87</v>
      </c>
      <c r="B92" s="447" t="str">
        <f>IF(G81=0,"",IF(B89="","",IF(B85="Substantial",B91*B87-B89,B91*B87)))</f>
        <v/>
      </c>
      <c r="C92" s="1"/>
      <c r="D92" s="1"/>
      <c r="E92" s="472"/>
      <c r="F92" s="473"/>
      <c r="G92" s="474"/>
      <c r="H92" s="331"/>
      <c r="I92" s="332"/>
      <c r="J92" s="325"/>
      <c r="K92" s="1"/>
      <c r="L92" s="1"/>
      <c r="M92" s="1"/>
      <c r="N92" s="312"/>
      <c r="O92" s="1"/>
      <c r="P92" s="1"/>
      <c r="Q92" s="1"/>
      <c r="R92" s="1"/>
      <c r="S92" s="24"/>
    </row>
    <row r="93" spans="1:19" ht="21" x14ac:dyDescent="0.4">
      <c r="A93" s="4"/>
      <c r="B93" s="295"/>
      <c r="C93" s="1"/>
      <c r="D93" s="1"/>
      <c r="E93" s="1"/>
      <c r="F93" s="1"/>
      <c r="G93" s="287"/>
      <c r="H93" s="333"/>
      <c r="I93" s="334"/>
      <c r="J93" s="312"/>
      <c r="K93" s="312"/>
      <c r="L93" s="1"/>
      <c r="M93" s="1"/>
      <c r="N93" s="1"/>
      <c r="O93" s="1"/>
      <c r="P93" s="1"/>
      <c r="Q93" s="1"/>
      <c r="R93" s="1"/>
      <c r="S93" s="24"/>
    </row>
    <row r="94" spans="1:19" ht="21.6" thickBot="1" x14ac:dyDescent="0.45">
      <c r="A94" s="2"/>
      <c r="B94" s="335"/>
      <c r="C94" s="3"/>
      <c r="D94" s="3"/>
      <c r="E94" s="3"/>
      <c r="F94" s="3"/>
      <c r="G94" s="246"/>
      <c r="H94" s="340"/>
      <c r="I94" s="341"/>
      <c r="J94" s="326"/>
      <c r="K94" s="326"/>
      <c r="L94" s="3"/>
      <c r="M94" s="3"/>
      <c r="N94" s="3"/>
      <c r="O94" s="3"/>
      <c r="P94" s="3"/>
      <c r="Q94" s="3"/>
      <c r="R94" s="3"/>
      <c r="S94" s="25"/>
    </row>
    <row r="95" spans="1:19" ht="21" x14ac:dyDescent="0.4">
      <c r="J95" s="9"/>
      <c r="K95" s="9"/>
    </row>
    <row r="96" spans="1:19" ht="21" x14ac:dyDescent="0.4">
      <c r="J96" s="9"/>
      <c r="K96" s="9"/>
    </row>
    <row r="97" spans="10:11" ht="21" x14ac:dyDescent="0.4">
      <c r="J97" s="9"/>
      <c r="K97" s="9"/>
    </row>
    <row r="98" spans="10:11" ht="21" x14ac:dyDescent="0.4">
      <c r="J98" s="9"/>
      <c r="K98" s="9"/>
    </row>
    <row r="99" spans="10:11" ht="23.1" customHeight="1" x14ac:dyDescent="0.4">
      <c r="J99" s="9"/>
      <c r="K99" s="9"/>
    </row>
    <row r="100" spans="10:11" ht="21" x14ac:dyDescent="0.4">
      <c r="J100" s="9"/>
      <c r="K100" s="9"/>
    </row>
    <row r="101" spans="10:11" ht="21" x14ac:dyDescent="0.4">
      <c r="J101" s="9"/>
      <c r="K101" s="9"/>
    </row>
    <row r="102" spans="10:11" ht="21" x14ac:dyDescent="0.4">
      <c r="J102" s="9"/>
      <c r="K102" s="9"/>
    </row>
    <row r="103" spans="10:11" ht="21" x14ac:dyDescent="0.4">
      <c r="J103" s="9"/>
      <c r="K103" s="9"/>
    </row>
    <row r="104" spans="10:11" ht="21" x14ac:dyDescent="0.4">
      <c r="J104" s="9"/>
      <c r="K104" s="9"/>
    </row>
    <row r="105" spans="10:11" ht="21" x14ac:dyDescent="0.4">
      <c r="J105" s="9"/>
      <c r="K105" s="9"/>
    </row>
    <row r="106" spans="10:11" ht="21" x14ac:dyDescent="0.4">
      <c r="J106" s="9"/>
      <c r="K106" s="9"/>
    </row>
    <row r="121" ht="30.6" customHeight="1" x14ac:dyDescent="0.3"/>
    <row r="122" ht="53.1" customHeight="1" x14ac:dyDescent="0.3"/>
  </sheetData>
  <sheetProtection selectLockedCells="1"/>
  <mergeCells count="5">
    <mergeCell ref="A19:B19"/>
    <mergeCell ref="J17:S17"/>
    <mergeCell ref="J7:S7"/>
    <mergeCell ref="E83:I83"/>
    <mergeCell ref="E86:G92"/>
  </mergeCells>
  <phoneticPr fontId="33" type="noConversion"/>
  <conditionalFormatting sqref="B16">
    <cfRule type="containsBlanks" dxfId="5" priority="5">
      <formula>LEN(TRIM(B16))=0</formula>
    </cfRule>
  </conditionalFormatting>
  <conditionalFormatting sqref="E12">
    <cfRule type="notContainsBlanks" dxfId="4" priority="1">
      <formula>LEN(TRIM(E12))&gt;0</formula>
    </cfRule>
    <cfRule type="expression" dxfId="3" priority="4">
      <formula>$E$11="Replace/New"</formula>
    </cfRule>
  </conditionalFormatting>
  <conditionalFormatting sqref="E17:E19">
    <cfRule type="containsBlanks" dxfId="2" priority="3">
      <formula>LEN(TRIM(E17))=0</formula>
    </cfRule>
  </conditionalFormatting>
  <dataValidations count="6">
    <dataValidation type="list" allowBlank="1" showInputMessage="1" showErrorMessage="1" sqref="B85" xr:uid="{FBA2D7BA-EF4F-48B8-9EEA-C4E6149CE67B}">
      <formula1>$K$27:$K$28</formula1>
    </dataValidation>
    <dataValidation type="list" allowBlank="1" showInputMessage="1" showErrorMessage="1" sqref="E12:E13" xr:uid="{4D9CC125-CDED-4879-AD09-11708455417C}">
      <formula1>$K$44:$K$51</formula1>
    </dataValidation>
    <dataValidation type="list" allowBlank="1" showInputMessage="1" showErrorMessage="1" sqref="E11" xr:uid="{146152F4-28CB-440F-98A5-63CAB2A42D30}">
      <formula1>$N$38:$N$39</formula1>
    </dataValidation>
    <dataValidation type="list" allowBlank="1" showInputMessage="1" showErrorMessage="1" sqref="E17 B18" xr:uid="{3E3E9CA2-0954-4817-BC91-74D6F016F359}">
      <formula1>$N$36:$N$37</formula1>
    </dataValidation>
    <dataValidation type="list" allowBlank="1" showInputMessage="1" showErrorMessage="1" sqref="E14:E15" xr:uid="{75DCA6D2-4858-4DEF-BD4D-92C33ED9638C}">
      <formula1>$N$30:$N$35</formula1>
    </dataValidation>
    <dataValidation type="list" allowBlank="1" showInputMessage="1" showErrorMessage="1" sqref="E10" xr:uid="{8248A213-F222-4781-82F9-9DC6BE746AC2}">
      <formula1>$N$26:$N$28</formula1>
    </dataValidation>
  </dataValidations>
  <pageMargins left="0.25" right="0.25" top="0.75" bottom="0.75" header="0.3" footer="0.3"/>
  <pageSetup scale="22" orientation="landscape" r:id="rId1"/>
  <ignoredErrors>
    <ignoredError sqref="B87 B89" unlocked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D5BB51-ECA2-48CD-B34B-21E426351A51}">
  <dimension ref="A1:I66"/>
  <sheetViews>
    <sheetView topLeftCell="A29" zoomScale="110" zoomScaleNormal="110" workbookViewId="0">
      <selection activeCell="F44" sqref="F44"/>
    </sheetView>
  </sheetViews>
  <sheetFormatPr defaultRowHeight="14.4" x14ac:dyDescent="0.3"/>
  <cols>
    <col min="1" max="1" width="3.109375" customWidth="1"/>
    <col min="2" max="2" width="27.88671875" customWidth="1"/>
    <col min="3" max="5" width="12.88671875" customWidth="1"/>
    <col min="6" max="6" width="28.44140625" customWidth="1"/>
    <col min="7" max="7" width="17.88671875" customWidth="1"/>
    <col min="8" max="8" width="25.44140625" customWidth="1"/>
    <col min="9" max="9" width="3.109375" customWidth="1"/>
  </cols>
  <sheetData>
    <row r="1" spans="1:9" ht="18" x14ac:dyDescent="0.3">
      <c r="A1" s="249"/>
      <c r="B1" s="250"/>
      <c r="C1" s="181" t="s">
        <v>90</v>
      </c>
      <c r="D1" s="251"/>
      <c r="E1" s="251"/>
      <c r="F1" s="251"/>
      <c r="G1" s="251"/>
      <c r="H1" s="251"/>
      <c r="I1" s="252"/>
    </row>
    <row r="2" spans="1:9" ht="48" x14ac:dyDescent="0.3">
      <c r="A2" s="152"/>
      <c r="B2" s="217"/>
      <c r="C2" s="182" t="s">
        <v>91</v>
      </c>
      <c r="D2" s="183"/>
      <c r="E2" s="183"/>
      <c r="F2" s="183"/>
      <c r="G2" s="184"/>
      <c r="H2" s="218" t="s">
        <v>273</v>
      </c>
      <c r="I2" s="219"/>
    </row>
    <row r="3" spans="1:9" ht="15.6" x14ac:dyDescent="0.3">
      <c r="A3" s="186"/>
      <c r="B3" s="253" t="s">
        <v>274</v>
      </c>
      <c r="C3" s="231" t="s">
        <v>275</v>
      </c>
      <c r="D3" s="232"/>
      <c r="E3" s="232"/>
      <c r="F3" s="232"/>
      <c r="G3" s="232"/>
      <c r="H3" s="232"/>
      <c r="I3" s="233"/>
    </row>
    <row r="4" spans="1:9" x14ac:dyDescent="0.3">
      <c r="A4" s="135"/>
      <c r="B4" s="254"/>
      <c r="C4" s="220" t="s">
        <v>276</v>
      </c>
      <c r="D4" s="255"/>
      <c r="E4" s="255"/>
      <c r="F4" s="255"/>
      <c r="G4" s="255"/>
      <c r="H4" s="256"/>
      <c r="I4" s="234"/>
    </row>
    <row r="5" spans="1:9" x14ac:dyDescent="0.3">
      <c r="A5" s="135"/>
      <c r="B5" s="254"/>
      <c r="C5" s="220" t="s">
        <v>92</v>
      </c>
      <c r="D5" s="255"/>
      <c r="E5" s="255"/>
      <c r="F5" s="255"/>
      <c r="G5" s="255"/>
      <c r="H5" s="256"/>
      <c r="I5" s="234"/>
    </row>
    <row r="6" spans="1:9" x14ac:dyDescent="0.3">
      <c r="A6" s="135"/>
      <c r="B6" s="254"/>
      <c r="C6" s="221" t="s">
        <v>166</v>
      </c>
      <c r="D6" s="235"/>
      <c r="E6" s="235"/>
      <c r="F6" s="235"/>
      <c r="G6" s="235"/>
      <c r="H6" s="236"/>
      <c r="I6" s="237"/>
    </row>
    <row r="7" spans="1:9" ht="15.6" x14ac:dyDescent="0.3">
      <c r="A7" s="185"/>
      <c r="B7" s="180" t="s">
        <v>277</v>
      </c>
      <c r="C7" s="231" t="s">
        <v>278</v>
      </c>
      <c r="D7" s="233"/>
      <c r="E7" s="238"/>
      <c r="F7" s="232"/>
      <c r="G7" s="232"/>
      <c r="H7" s="232"/>
      <c r="I7" s="233"/>
    </row>
    <row r="8" spans="1:9" x14ac:dyDescent="0.3">
      <c r="A8" s="135"/>
      <c r="B8" s="136"/>
      <c r="C8" s="220" t="s">
        <v>279</v>
      </c>
      <c r="D8" s="239"/>
      <c r="E8" s="240"/>
      <c r="F8" s="255"/>
      <c r="G8" s="255"/>
      <c r="H8" s="256"/>
      <c r="I8" s="234"/>
    </row>
    <row r="9" spans="1:9" x14ac:dyDescent="0.3">
      <c r="A9" s="152"/>
      <c r="B9" s="217"/>
      <c r="C9" s="221" t="s">
        <v>280</v>
      </c>
      <c r="D9" s="241"/>
      <c r="E9" s="242"/>
      <c r="F9" s="235"/>
      <c r="G9" s="235"/>
      <c r="H9" s="236"/>
      <c r="I9" s="237"/>
    </row>
    <row r="10" spans="1:9" ht="15.6" x14ac:dyDescent="0.3">
      <c r="A10" s="135"/>
      <c r="B10" s="253"/>
      <c r="C10" s="257"/>
      <c r="D10" s="257"/>
      <c r="E10" s="257"/>
      <c r="F10" s="257"/>
      <c r="G10" s="257"/>
      <c r="H10" s="257"/>
      <c r="I10" s="114"/>
    </row>
    <row r="11" spans="1:9" ht="15.6" x14ac:dyDescent="0.3">
      <c r="A11" s="135"/>
      <c r="B11" s="188" t="s">
        <v>93</v>
      </c>
      <c r="C11" s="189"/>
      <c r="D11" s="190"/>
      <c r="E11" s="190"/>
      <c r="F11" s="191"/>
      <c r="G11" s="187" t="s">
        <v>94</v>
      </c>
      <c r="H11" s="192"/>
      <c r="I11" s="193"/>
    </row>
    <row r="12" spans="1:9" ht="15.6" x14ac:dyDescent="0.3">
      <c r="A12" s="135"/>
      <c r="B12" s="258"/>
      <c r="C12" s="95"/>
      <c r="D12" s="95"/>
      <c r="E12" s="95"/>
      <c r="F12" s="95"/>
      <c r="G12" s="95"/>
      <c r="H12" s="259"/>
      <c r="I12" s="194"/>
    </row>
    <row r="13" spans="1:9" ht="18" x14ac:dyDescent="0.3">
      <c r="A13" s="135"/>
      <c r="B13" s="260" t="s">
        <v>281</v>
      </c>
      <c r="C13" s="261"/>
      <c r="D13" s="261"/>
      <c r="E13" s="261"/>
      <c r="F13" s="261"/>
      <c r="G13" s="261"/>
      <c r="H13" s="261"/>
      <c r="I13" s="136"/>
    </row>
    <row r="14" spans="1:9" ht="15.6" x14ac:dyDescent="0.3">
      <c r="A14" s="135"/>
      <c r="B14" s="262" t="s">
        <v>282</v>
      </c>
      <c r="C14" s="263"/>
      <c r="D14" s="263"/>
      <c r="E14" s="263"/>
      <c r="F14" s="263"/>
      <c r="G14" s="263"/>
      <c r="H14" s="263"/>
      <c r="I14" s="136"/>
    </row>
    <row r="15" spans="1:9" ht="15.6" x14ac:dyDescent="0.3">
      <c r="A15" s="135"/>
      <c r="B15" s="264"/>
      <c r="C15" s="265"/>
      <c r="D15" s="265"/>
      <c r="E15" s="265"/>
      <c r="F15" s="265"/>
      <c r="G15" s="253" t="s">
        <v>95</v>
      </c>
      <c r="H15" s="265"/>
      <c r="I15" s="136"/>
    </row>
    <row r="16" spans="1:9" ht="15.6" x14ac:dyDescent="0.3">
      <c r="A16" s="135"/>
      <c r="B16" s="266"/>
      <c r="C16" s="266" t="s">
        <v>96</v>
      </c>
      <c r="D16" s="266"/>
      <c r="E16" s="266"/>
      <c r="F16" s="266"/>
      <c r="G16" s="266"/>
      <c r="H16" s="259"/>
      <c r="I16" s="136"/>
    </row>
    <row r="17" spans="1:9" ht="15.6" x14ac:dyDescent="0.3">
      <c r="A17" s="135"/>
      <c r="B17" s="267"/>
      <c r="C17" s="268" t="s">
        <v>167</v>
      </c>
      <c r="D17" s="268"/>
      <c r="E17" s="268"/>
      <c r="F17" s="268"/>
      <c r="G17" s="268"/>
      <c r="H17" s="259"/>
      <c r="I17" s="136"/>
    </row>
    <row r="18" spans="1:9" ht="15.6" x14ac:dyDescent="0.3">
      <c r="A18" s="135"/>
      <c r="B18" s="267"/>
      <c r="C18" s="268" t="s">
        <v>168</v>
      </c>
      <c r="D18" s="268"/>
      <c r="E18" s="268"/>
      <c r="F18" s="268"/>
      <c r="G18" s="268"/>
      <c r="H18" s="259"/>
      <c r="I18" s="136"/>
    </row>
    <row r="19" spans="1:9" ht="15.6" x14ac:dyDescent="0.3">
      <c r="A19" s="135"/>
      <c r="B19" s="269"/>
      <c r="C19" s="268" t="s">
        <v>97</v>
      </c>
      <c r="D19" s="262"/>
      <c r="E19" s="262"/>
      <c r="F19" s="262"/>
      <c r="G19" s="262"/>
      <c r="H19" s="259"/>
      <c r="I19" s="136"/>
    </row>
    <row r="20" spans="1:9" ht="15.6" x14ac:dyDescent="0.3">
      <c r="A20" s="135"/>
      <c r="B20" s="266"/>
      <c r="C20" s="266"/>
      <c r="D20" s="95"/>
      <c r="E20" s="95"/>
      <c r="F20" s="95"/>
      <c r="G20" s="95"/>
      <c r="H20" s="259"/>
      <c r="I20" s="136"/>
    </row>
    <row r="21" spans="1:9" ht="15.6" x14ac:dyDescent="0.3">
      <c r="A21" s="135"/>
      <c r="B21" s="254"/>
      <c r="C21" s="254"/>
      <c r="D21" s="254"/>
      <c r="E21" s="95"/>
      <c r="F21" s="137" t="s">
        <v>101</v>
      </c>
      <c r="G21" s="137" t="s">
        <v>102</v>
      </c>
      <c r="H21" s="137" t="s">
        <v>103</v>
      </c>
      <c r="I21" s="136"/>
    </row>
    <row r="22" spans="1:9" ht="15.6" x14ac:dyDescent="0.3">
      <c r="A22" s="135"/>
      <c r="B22" s="137" t="s">
        <v>98</v>
      </c>
      <c r="C22" s="137" t="s">
        <v>99</v>
      </c>
      <c r="D22" s="147" t="s">
        <v>100</v>
      </c>
      <c r="E22" s="95"/>
      <c r="F22" s="115" t="s">
        <v>104</v>
      </c>
      <c r="G22" s="139">
        <v>27.4</v>
      </c>
      <c r="H22" s="140">
        <v>17.0702</v>
      </c>
      <c r="I22" s="136"/>
    </row>
    <row r="23" spans="1:9" ht="15.6" x14ac:dyDescent="0.3">
      <c r="A23" s="135"/>
      <c r="B23" s="115" t="s">
        <v>105</v>
      </c>
      <c r="C23" s="115" t="s">
        <v>106</v>
      </c>
      <c r="D23" s="138">
        <v>0.9</v>
      </c>
      <c r="E23" s="95"/>
      <c r="F23" s="115" t="s">
        <v>107</v>
      </c>
      <c r="G23" s="140">
        <v>6.8</v>
      </c>
      <c r="H23" s="140">
        <v>4.2363999999999997</v>
      </c>
      <c r="I23" s="136"/>
    </row>
    <row r="24" spans="1:9" ht="15.6" x14ac:dyDescent="0.3">
      <c r="A24" s="135"/>
      <c r="B24" s="115" t="s">
        <v>108</v>
      </c>
      <c r="C24" s="115" t="s">
        <v>106</v>
      </c>
      <c r="D24" s="138">
        <v>0.9</v>
      </c>
      <c r="E24" s="95"/>
      <c r="F24" s="259"/>
      <c r="G24" s="259"/>
      <c r="H24" s="259"/>
      <c r="I24" s="136"/>
    </row>
    <row r="25" spans="1:9" ht="15.6" x14ac:dyDescent="0.3">
      <c r="A25" s="135"/>
      <c r="B25" s="115" t="s">
        <v>109</v>
      </c>
      <c r="C25" s="115" t="s">
        <v>110</v>
      </c>
      <c r="D25" s="138">
        <v>0.8</v>
      </c>
      <c r="E25" s="95"/>
      <c r="F25" s="142" t="s">
        <v>111</v>
      </c>
      <c r="G25" s="475" t="s">
        <v>112</v>
      </c>
      <c r="H25" s="476"/>
      <c r="I25" s="136"/>
    </row>
    <row r="26" spans="1:9" ht="15.6" x14ac:dyDescent="0.3">
      <c r="A26" s="135"/>
      <c r="B26" s="115" t="s">
        <v>113</v>
      </c>
      <c r="C26" s="115" t="s">
        <v>114</v>
      </c>
      <c r="D26" s="138">
        <v>0.65</v>
      </c>
      <c r="E26" s="254"/>
      <c r="F26" s="115" t="s">
        <v>105</v>
      </c>
      <c r="G26" s="198">
        <v>0.75</v>
      </c>
      <c r="H26" s="199"/>
      <c r="I26" s="136"/>
    </row>
    <row r="27" spans="1:9" ht="15.6" x14ac:dyDescent="0.3">
      <c r="A27" s="135"/>
      <c r="B27" s="115" t="s">
        <v>115</v>
      </c>
      <c r="C27" s="115" t="s">
        <v>116</v>
      </c>
      <c r="D27" s="138">
        <v>0.4</v>
      </c>
      <c r="E27" s="254"/>
      <c r="F27" s="115" t="s">
        <v>117</v>
      </c>
      <c r="G27" s="198">
        <v>0.75</v>
      </c>
      <c r="H27" s="199"/>
      <c r="I27" s="136"/>
    </row>
    <row r="28" spans="1:9" ht="15.6" x14ac:dyDescent="0.3">
      <c r="A28" s="135"/>
      <c r="B28" s="115" t="s">
        <v>118</v>
      </c>
      <c r="C28" s="115" t="s">
        <v>119</v>
      </c>
      <c r="D28" s="138">
        <v>0.25</v>
      </c>
      <c r="E28" s="254"/>
      <c r="F28" s="115" t="s">
        <v>120</v>
      </c>
      <c r="G28" s="198">
        <v>0.9</v>
      </c>
      <c r="H28" s="199"/>
      <c r="I28" s="136"/>
    </row>
    <row r="29" spans="1:9" ht="15.6" x14ac:dyDescent="0.3">
      <c r="A29" s="135"/>
      <c r="B29" s="254"/>
      <c r="C29" s="254"/>
      <c r="D29" s="254"/>
      <c r="E29" s="254"/>
      <c r="F29" s="115" t="s">
        <v>121</v>
      </c>
      <c r="G29" s="200">
        <v>0.82499999999999996</v>
      </c>
      <c r="H29" s="201"/>
      <c r="I29" s="136"/>
    </row>
    <row r="30" spans="1:9" ht="15.6" x14ac:dyDescent="0.3">
      <c r="A30" s="135"/>
      <c r="B30" s="254"/>
      <c r="C30" s="254"/>
      <c r="D30" s="254"/>
      <c r="E30" s="254"/>
      <c r="F30" s="247"/>
      <c r="G30" s="248"/>
      <c r="H30" s="248"/>
      <c r="I30" s="136"/>
    </row>
    <row r="31" spans="1:9" ht="16.2" thickBot="1" x14ac:dyDescent="0.35">
      <c r="A31" s="135"/>
      <c r="B31" s="95"/>
      <c r="C31" s="95"/>
      <c r="D31" s="95"/>
      <c r="E31" s="270"/>
      <c r="F31" s="95"/>
      <c r="G31" s="95"/>
      <c r="H31" s="259"/>
      <c r="I31" s="136"/>
    </row>
    <row r="32" spans="1:9" ht="18" x14ac:dyDescent="0.3">
      <c r="A32" s="135"/>
      <c r="B32" s="195" t="s">
        <v>122</v>
      </c>
      <c r="C32" s="196"/>
      <c r="D32" s="196"/>
      <c r="E32" s="196"/>
      <c r="F32" s="196"/>
      <c r="G32" s="196"/>
      <c r="H32" s="197"/>
      <c r="I32" s="136"/>
    </row>
    <row r="33" spans="1:9" ht="18" x14ac:dyDescent="0.3">
      <c r="A33" s="135"/>
      <c r="B33" s="143" t="s">
        <v>283</v>
      </c>
      <c r="C33" s="206"/>
      <c r="D33" s="206"/>
      <c r="E33" s="206"/>
      <c r="F33" s="206"/>
      <c r="G33" s="206"/>
      <c r="H33" s="207"/>
      <c r="I33" s="136"/>
    </row>
    <row r="34" spans="1:9" ht="15.6" x14ac:dyDescent="0.3">
      <c r="A34" s="135"/>
      <c r="B34" s="143" t="s">
        <v>284</v>
      </c>
      <c r="C34" s="94"/>
      <c r="D34" s="94"/>
      <c r="E34" s="94"/>
      <c r="F34" s="94"/>
      <c r="G34" s="94"/>
      <c r="H34" s="205"/>
      <c r="I34" s="136"/>
    </row>
    <row r="35" spans="1:9" ht="15.6" x14ac:dyDescent="0.3">
      <c r="A35" s="135"/>
      <c r="B35" s="143"/>
      <c r="C35" s="95"/>
      <c r="D35" s="95"/>
      <c r="E35" s="95"/>
      <c r="F35" s="95"/>
      <c r="G35" s="95"/>
      <c r="H35" s="144"/>
      <c r="I35" s="136"/>
    </row>
    <row r="36" spans="1:9" ht="15.6" x14ac:dyDescent="0.3">
      <c r="A36" s="135"/>
      <c r="B36" s="230" t="s">
        <v>123</v>
      </c>
      <c r="C36" s="202"/>
      <c r="D36" s="203"/>
      <c r="E36" s="159">
        <v>7.5</v>
      </c>
      <c r="F36" s="243" t="s">
        <v>285</v>
      </c>
      <c r="G36" s="243"/>
      <c r="H36" s="144"/>
      <c r="I36" s="136"/>
    </row>
    <row r="37" spans="1:9" ht="15.6" x14ac:dyDescent="0.3">
      <c r="A37" s="135"/>
      <c r="B37" s="213"/>
      <c r="C37" s="210"/>
      <c r="D37" s="204" t="s">
        <v>124</v>
      </c>
      <c r="E37" s="208"/>
      <c r="F37" s="204" t="s">
        <v>286</v>
      </c>
      <c r="G37" s="208"/>
      <c r="H37" s="144"/>
      <c r="I37" s="136"/>
    </row>
    <row r="38" spans="1:9" ht="15.6" x14ac:dyDescent="0.3">
      <c r="A38" s="135"/>
      <c r="B38" s="211"/>
      <c r="C38" s="209"/>
      <c r="D38" s="212" t="s">
        <v>287</v>
      </c>
      <c r="E38" s="156"/>
      <c r="F38" s="95"/>
      <c r="G38" s="95"/>
      <c r="H38" s="144"/>
      <c r="I38" s="136"/>
    </row>
    <row r="39" spans="1:9" ht="15.6" x14ac:dyDescent="0.3">
      <c r="A39" s="135"/>
      <c r="B39" s="143"/>
      <c r="C39" s="95"/>
      <c r="D39" s="95"/>
      <c r="E39" s="95"/>
      <c r="F39" s="95"/>
      <c r="G39" s="95"/>
      <c r="H39" s="145"/>
      <c r="I39" s="136"/>
    </row>
    <row r="40" spans="1:9" ht="31.2" x14ac:dyDescent="0.3">
      <c r="A40" s="135"/>
      <c r="B40" s="146" t="s">
        <v>125</v>
      </c>
      <c r="C40" s="141" t="s">
        <v>126</v>
      </c>
      <c r="D40" s="137" t="s">
        <v>100</v>
      </c>
      <c r="E40" s="147" t="s">
        <v>111</v>
      </c>
      <c r="F40" s="148" t="s">
        <v>112</v>
      </c>
      <c r="G40" s="147" t="s">
        <v>127</v>
      </c>
      <c r="H40" s="149" t="s">
        <v>128</v>
      </c>
      <c r="I40" s="136"/>
    </row>
    <row r="41" spans="1:9" ht="15.6" x14ac:dyDescent="0.3">
      <c r="A41" s="135"/>
      <c r="B41" s="224" t="s">
        <v>129</v>
      </c>
      <c r="C41" s="225" t="s">
        <v>116</v>
      </c>
      <c r="D41" s="226">
        <v>0.4</v>
      </c>
      <c r="E41" s="227" t="s">
        <v>120</v>
      </c>
      <c r="F41" s="226">
        <v>0.9</v>
      </c>
      <c r="G41" s="228">
        <v>2000</v>
      </c>
      <c r="H41" s="229">
        <v>5759.2888888888892</v>
      </c>
      <c r="I41" s="136"/>
    </row>
    <row r="42" spans="1:9" ht="15.6" x14ac:dyDescent="0.3">
      <c r="A42" s="271"/>
      <c r="B42" s="150" t="s">
        <v>169</v>
      </c>
      <c r="C42" s="155"/>
      <c r="D42" s="92" t="str" cm="1">
        <f t="array" ref="D42">_xlfn.IFS(C42=$C$24,$D$24,C42=$C$25,$D$25,C42=$C$26,$D$26,C42=$C$27,$D$27,C42=$C$28,$D$28,C42="","")</f>
        <v/>
      </c>
      <c r="E42" s="155"/>
      <c r="F42" s="92" t="str" cm="1">
        <f t="array" ref="F42">_xlfn.IFS($E42=$F$26,$G$26,$E42=$F$27,$G$27,$E42=$F$28,$G$28,$E42=$F$29,$G$29,$E42="","")</f>
        <v/>
      </c>
      <c r="G42" s="155"/>
      <c r="H42" s="96">
        <f t="shared" ref="H42:H54" si="0">IFERROR((D42*$H$22-$H$23)*G42/F42,0)</f>
        <v>0</v>
      </c>
      <c r="I42" s="104"/>
    </row>
    <row r="43" spans="1:9" ht="15.6" x14ac:dyDescent="0.3">
      <c r="A43" s="271"/>
      <c r="B43" s="150" t="s">
        <v>170</v>
      </c>
      <c r="C43" s="155"/>
      <c r="D43" s="92" t="str" cm="1">
        <f t="array" ref="D43">_xlfn.IFS(C43=$C$24,$D$24,C43=$C$25,$D$25,C43=$C$26,$D$26,C43=$C$27,$D$27,C43=$C$28,$D$28,C43="","")</f>
        <v/>
      </c>
      <c r="E43" s="155"/>
      <c r="F43" s="92" t="str" cm="1">
        <f t="array" ref="F43">_xlfn.IFS($E43=$F$26,$G$26,$E43=$F$27,$G$27,$E43=$F$28,$G$28,$E43=$F$29,$G$29,$E43="","")</f>
        <v/>
      </c>
      <c r="G43" s="155"/>
      <c r="H43" s="96">
        <f t="shared" si="0"/>
        <v>0</v>
      </c>
      <c r="I43" s="104"/>
    </row>
    <row r="44" spans="1:9" ht="15.6" x14ac:dyDescent="0.3">
      <c r="A44" s="271"/>
      <c r="B44" s="150" t="s">
        <v>171</v>
      </c>
      <c r="C44" s="155"/>
      <c r="D44" s="92" t="str" cm="1">
        <f t="array" ref="D44">_xlfn.IFS(C44=$C$24,$D$24,C44=$C$25,$D$25,C44=$C$26,$D$26,C44=$C$27,$D$27,C44=$C$28,$D$28,C44="","")</f>
        <v/>
      </c>
      <c r="E44" s="155"/>
      <c r="F44" s="92" t="str" cm="1">
        <f t="array" ref="F44">_xlfn.IFS($E44=$F$26,$G$26,$E44=$F$27,$G$27,$E44=$F$28,$G$28,$E44=$F$29,$G$29,$E44="","")</f>
        <v/>
      </c>
      <c r="G44" s="155"/>
      <c r="H44" s="96">
        <f t="shared" si="0"/>
        <v>0</v>
      </c>
      <c r="I44" s="104"/>
    </row>
    <row r="45" spans="1:9" ht="15.6" x14ac:dyDescent="0.3">
      <c r="A45" s="271"/>
      <c r="B45" s="150" t="s">
        <v>172</v>
      </c>
      <c r="C45" s="155"/>
      <c r="D45" s="92" t="str" cm="1">
        <f t="array" ref="D45">_xlfn.IFS(C45=$C$24,$D$24,C45=$C$25,$D$25,C45=$C$26,$D$26,C45=$C$27,$D$27,C45=$C$28,$D$28,C45="","")</f>
        <v/>
      </c>
      <c r="E45" s="155"/>
      <c r="F45" s="92" t="str" cm="1">
        <f t="array" ref="F45">_xlfn.IFS($E45=$F$26,$G$26,$E45=$F$27,$G$27,$E45=$F$28,$G$28,$E45=$F$29,$G$29,$E45="","")</f>
        <v/>
      </c>
      <c r="G45" s="155"/>
      <c r="H45" s="96">
        <f t="shared" si="0"/>
        <v>0</v>
      </c>
      <c r="I45" s="104"/>
    </row>
    <row r="46" spans="1:9" ht="15.6" x14ac:dyDescent="0.3">
      <c r="A46" s="271"/>
      <c r="B46" s="150" t="s">
        <v>173</v>
      </c>
      <c r="C46" s="155"/>
      <c r="D46" s="92" t="str" cm="1">
        <f t="array" ref="D46">_xlfn.IFS(C46=$C$24,$D$24,C46=$C$25,$D$25,C46=$C$26,$D$26,C46=$C$27,$D$27,C46=$C$28,$D$28,C46="","")</f>
        <v/>
      </c>
      <c r="E46" s="155"/>
      <c r="F46" s="92" t="str" cm="1">
        <f t="array" ref="F46">_xlfn.IFS($E46=$F$26,$G$26,$E46=$F$27,$G$27,$E46=$F$28,$G$28,$E46=$F$29,$G$29,$E46="","")</f>
        <v/>
      </c>
      <c r="G46" s="155"/>
      <c r="H46" s="96">
        <f t="shared" si="0"/>
        <v>0</v>
      </c>
      <c r="I46" s="104"/>
    </row>
    <row r="47" spans="1:9" ht="15.6" x14ac:dyDescent="0.3">
      <c r="A47" s="271"/>
      <c r="B47" s="150" t="s">
        <v>174</v>
      </c>
      <c r="C47" s="155"/>
      <c r="D47" s="92" t="str" cm="1">
        <f t="array" ref="D47">_xlfn.IFS(C47=$C$24,$D$24,C47=$C$25,$D$25,C47=$C$26,$D$26,C47=$C$27,$D$27,C47=$C$28,$D$28,C47="","")</f>
        <v/>
      </c>
      <c r="E47" s="155"/>
      <c r="F47" s="92" t="str" cm="1">
        <f t="array" ref="F47">_xlfn.IFS($E47=$F$26,$G$26,$E47=$F$27,$G$27,$E47=$F$28,$G$28,$E47=$F$29,$G$29,$E47="","")</f>
        <v/>
      </c>
      <c r="G47" s="155"/>
      <c r="H47" s="96">
        <f t="shared" si="0"/>
        <v>0</v>
      </c>
      <c r="I47" s="104"/>
    </row>
    <row r="48" spans="1:9" ht="15.6" x14ac:dyDescent="0.3">
      <c r="A48" s="271"/>
      <c r="B48" s="150" t="s">
        <v>175</v>
      </c>
      <c r="C48" s="155"/>
      <c r="D48" s="92" t="str" cm="1">
        <f t="array" ref="D48">_xlfn.IFS(C48=$C$24,$D$24,C48=$C$25,$D$25,C48=$C$26,$D$26,C48=$C$27,$D$27,C48=$C$28,$D$28,C48="","")</f>
        <v/>
      </c>
      <c r="E48" s="155"/>
      <c r="F48" s="92" t="str" cm="1">
        <f t="array" ref="F48">_xlfn.IFS($E48=$F$26,$G$26,$E48=$F$27,$G$27,$E48=$F$28,$G$28,$E48=$F$29,$G$29,$E48="","")</f>
        <v/>
      </c>
      <c r="G48" s="155"/>
      <c r="H48" s="96">
        <f t="shared" si="0"/>
        <v>0</v>
      </c>
      <c r="I48" s="104"/>
    </row>
    <row r="49" spans="1:9" ht="15.6" x14ac:dyDescent="0.3">
      <c r="A49" s="271"/>
      <c r="B49" s="150" t="s">
        <v>176</v>
      </c>
      <c r="C49" s="155"/>
      <c r="D49" s="92" t="str" cm="1">
        <f t="array" ref="D49">_xlfn.IFS(C49=$C$24,$D$24,C49=$C$25,$D$25,C49=$C$26,$D$26,C49=$C$27,$D$27,C49=$C$28,$D$28,C49="","")</f>
        <v/>
      </c>
      <c r="E49" s="155"/>
      <c r="F49" s="92" t="str" cm="1">
        <f t="array" ref="F49">_xlfn.IFS($E49=$F$26,$G$26,$E49=$F$27,$G$27,$E49=$F$28,$G$28,$E49=$F$29,$G$29,$E49="","")</f>
        <v/>
      </c>
      <c r="G49" s="155"/>
      <c r="H49" s="96">
        <f t="shared" si="0"/>
        <v>0</v>
      </c>
      <c r="I49" s="104"/>
    </row>
    <row r="50" spans="1:9" ht="15.6" x14ac:dyDescent="0.3">
      <c r="A50" s="271"/>
      <c r="B50" s="150" t="s">
        <v>177</v>
      </c>
      <c r="C50" s="155"/>
      <c r="D50" s="92" t="str" cm="1">
        <f t="array" ref="D50">_xlfn.IFS(C50=$C$24,$D$24,C50=$C$25,$D$25,C50=$C$26,$D$26,C50=$C$27,$D$27,C50=$C$28,$D$28,C50="","")</f>
        <v/>
      </c>
      <c r="E50" s="155"/>
      <c r="F50" s="92" t="str" cm="1">
        <f t="array" ref="F50">_xlfn.IFS($E50=$F$26,$G$26,$E50=$F$27,$G$27,$E50=$F$28,$G$28,$E50=$F$29,$G$29,$E50="","")</f>
        <v/>
      </c>
      <c r="G50" s="155"/>
      <c r="H50" s="96">
        <f t="shared" si="0"/>
        <v>0</v>
      </c>
      <c r="I50" s="104"/>
    </row>
    <row r="51" spans="1:9" ht="15.6" x14ac:dyDescent="0.3">
      <c r="A51" s="271"/>
      <c r="B51" s="150" t="s">
        <v>178</v>
      </c>
      <c r="C51" s="155"/>
      <c r="D51" s="92" t="str" cm="1">
        <f t="array" ref="D51">_xlfn.IFS(C51=$C$24,$D$24,C51=$C$25,$D$25,C51=$C$26,$D$26,C51=$C$27,$D$27,C51=$C$28,$D$28,C51="","")</f>
        <v/>
      </c>
      <c r="E51" s="155"/>
      <c r="F51" s="92" t="str" cm="1">
        <f t="array" ref="F51">_xlfn.IFS($E51=$F$26,$G$26,$E51=$F$27,$G$27,$E51=$F$28,$G$28,$E51=$F$29,$G$29,$E51="","")</f>
        <v/>
      </c>
      <c r="G51" s="155"/>
      <c r="H51" s="96">
        <f t="shared" si="0"/>
        <v>0</v>
      </c>
      <c r="I51" s="104"/>
    </row>
    <row r="52" spans="1:9" ht="15.6" x14ac:dyDescent="0.3">
      <c r="A52" s="271"/>
      <c r="B52" s="150" t="s">
        <v>180</v>
      </c>
      <c r="C52" s="155"/>
      <c r="D52" s="92" t="str" cm="1">
        <f t="array" ref="D52">_xlfn.IFS(C52=$C$24,$D$24,C52=$C$25,$D$25,C52=$C$26,$D$26,C52=$C$27,$D$27,C52=$C$28,$D$28,C52="","")</f>
        <v/>
      </c>
      <c r="E52" s="155"/>
      <c r="F52" s="92" t="str" cm="1">
        <f t="array" ref="F52">_xlfn.IFS($E52=$F$26,$G$26,$E52=$F$27,$G$27,$E52=$F$28,$G$28,$E52=$F$29,$G$29,$E52="","")</f>
        <v/>
      </c>
      <c r="G52" s="155"/>
      <c r="H52" s="96">
        <f t="shared" si="0"/>
        <v>0</v>
      </c>
      <c r="I52" s="104"/>
    </row>
    <row r="53" spans="1:9" ht="15.6" x14ac:dyDescent="0.3">
      <c r="A53" s="271"/>
      <c r="B53" s="150" t="s">
        <v>179</v>
      </c>
      <c r="C53" s="155"/>
      <c r="D53" s="92" t="str" cm="1">
        <f t="array" ref="D53">_xlfn.IFS(C53=$C$24,$D$24,C53=$C$25,$D$25,C53=$C$26,$D$26,C53=$C$27,$D$27,C53=$C$28,$D$28,C53="","")</f>
        <v/>
      </c>
      <c r="E53" s="155"/>
      <c r="F53" s="92" t="str" cm="1">
        <f t="array" ref="F53">_xlfn.IFS($E53=$F$26,$G$26,$E53=$F$27,$G$27,$E53=$F$28,$G$28,$E53=$F$29,$G$29,$E53="","")</f>
        <v/>
      </c>
      <c r="G53" s="155"/>
      <c r="H53" s="96">
        <f t="shared" si="0"/>
        <v>0</v>
      </c>
      <c r="I53" s="104"/>
    </row>
    <row r="54" spans="1:9" ht="15.6" x14ac:dyDescent="0.3">
      <c r="A54" s="271"/>
      <c r="B54" s="150" t="s">
        <v>181</v>
      </c>
      <c r="C54" s="155"/>
      <c r="D54" s="92" t="str" cm="1">
        <f t="array" ref="D54">_xlfn.IFS(C54=$C$24,$D$24,C54=$C$25,$D$25,C54=$C$26,$D$26,C54=$C$27,$D$27,C54=$C$28,$D$28,C54="","")</f>
        <v/>
      </c>
      <c r="E54" s="155"/>
      <c r="F54" s="92" t="str" cm="1">
        <f t="array" ref="F54">_xlfn.IFS($E54=$F$26,$G$26,$E54=$F$27,$G$27,$E54=$F$28,$G$28,$E54=$F$29,$G$29,$E54="","")</f>
        <v/>
      </c>
      <c r="G54" s="155"/>
      <c r="H54" s="96">
        <f t="shared" si="0"/>
        <v>0</v>
      </c>
      <c r="I54" s="104"/>
    </row>
    <row r="55" spans="1:9" ht="31.2" x14ac:dyDescent="0.3">
      <c r="A55" s="271"/>
      <c r="B55" s="146" t="s">
        <v>130</v>
      </c>
      <c r="C55" s="160" t="s">
        <v>126</v>
      </c>
      <c r="D55" s="137" t="s">
        <v>100</v>
      </c>
      <c r="E55" s="147" t="s">
        <v>111</v>
      </c>
      <c r="F55" s="148" t="s">
        <v>112</v>
      </c>
      <c r="G55" s="147" t="s">
        <v>127</v>
      </c>
      <c r="H55" s="169" t="s">
        <v>184</v>
      </c>
      <c r="I55" s="104"/>
    </row>
    <row r="56" spans="1:9" ht="46.8" x14ac:dyDescent="0.3">
      <c r="A56" s="271"/>
      <c r="B56" s="170" t="s">
        <v>131</v>
      </c>
      <c r="C56" s="159" t="s">
        <v>106</v>
      </c>
      <c r="D56" s="154">
        <v>0.9</v>
      </c>
      <c r="E56" s="158" t="s">
        <v>105</v>
      </c>
      <c r="F56" s="154">
        <v>0.75</v>
      </c>
      <c r="G56" s="156"/>
      <c r="H56" s="157">
        <f>IFERROR((D56*$H$22-$H$23)*G56/F56,0)</f>
        <v>0</v>
      </c>
      <c r="I56" s="104"/>
    </row>
    <row r="57" spans="1:9" ht="46.8" x14ac:dyDescent="0.3">
      <c r="A57" s="271"/>
      <c r="B57" s="170" t="s">
        <v>132</v>
      </c>
      <c r="C57" s="159" t="s">
        <v>106</v>
      </c>
      <c r="D57" s="154">
        <v>0.9</v>
      </c>
      <c r="E57" s="158" t="s">
        <v>105</v>
      </c>
      <c r="F57" s="154">
        <v>0.75</v>
      </c>
      <c r="G57" s="161"/>
      <c r="H57" s="162">
        <f>IFERROR((D57*$H$22-$H$23)*G57/F57,0)</f>
        <v>0</v>
      </c>
      <c r="I57" s="104"/>
    </row>
    <row r="58" spans="1:9" ht="15.6" x14ac:dyDescent="0.3">
      <c r="A58" s="271"/>
      <c r="B58" s="4"/>
      <c r="C58" s="1"/>
      <c r="D58" s="1"/>
      <c r="E58" s="1"/>
      <c r="F58" s="214" t="s">
        <v>133</v>
      </c>
      <c r="G58" s="93">
        <f>SUMIFS(G$42:G$57,$E$42:$E$57,$F26)</f>
        <v>0</v>
      </c>
      <c r="H58" s="97">
        <f>SUMIFS(H$42:H$57,$E$42:$E$57,$F26)</f>
        <v>0</v>
      </c>
      <c r="I58" s="104"/>
    </row>
    <row r="59" spans="1:9" ht="15.6" x14ac:dyDescent="0.3">
      <c r="A59" s="271"/>
      <c r="B59" s="4"/>
      <c r="C59" s="1"/>
      <c r="D59" s="1"/>
      <c r="E59" s="1"/>
      <c r="F59" s="215" t="s">
        <v>134</v>
      </c>
      <c r="G59" s="93">
        <f>SUMIFS($G$42:$G$57,$E$42:$E$57,$F27)</f>
        <v>0</v>
      </c>
      <c r="H59" s="97">
        <f>SUMIFS(H$42:H$57,$E$42:$E$57,$F27)</f>
        <v>0</v>
      </c>
      <c r="I59" s="104"/>
    </row>
    <row r="60" spans="1:9" ht="15.6" x14ac:dyDescent="0.3">
      <c r="A60" s="271"/>
      <c r="B60" s="4"/>
      <c r="C60" s="1"/>
      <c r="D60" s="1"/>
      <c r="E60" s="1"/>
      <c r="F60" s="215" t="s">
        <v>135</v>
      </c>
      <c r="G60" s="93">
        <f>SUMIFS($G$42:$G$57,$E$42:$E$57,$F28)</f>
        <v>0</v>
      </c>
      <c r="H60" s="97">
        <f>SUMIFS(H$42:H$57,$E$42:$E$57,$F28)</f>
        <v>0</v>
      </c>
      <c r="I60" s="104"/>
    </row>
    <row r="61" spans="1:9" ht="15.6" x14ac:dyDescent="0.3">
      <c r="A61" s="271"/>
      <c r="B61" s="4"/>
      <c r="C61" s="1"/>
      <c r="D61" s="1"/>
      <c r="E61" s="1"/>
      <c r="F61" s="215" t="s">
        <v>136</v>
      </c>
      <c r="G61" s="93">
        <f>SUMIFS($G$42:$G$57,$E$42:$E$57,$F29)</f>
        <v>0</v>
      </c>
      <c r="H61" s="97">
        <f>SUMIFS(H$42:H$57,$E$42:$E$57,$F29)</f>
        <v>0</v>
      </c>
      <c r="I61" s="104"/>
    </row>
    <row r="62" spans="1:9" ht="21" x14ac:dyDescent="0.3">
      <c r="A62" s="271"/>
      <c r="B62" s="4"/>
      <c r="C62" s="1"/>
      <c r="D62" s="1"/>
      <c r="E62" s="1"/>
      <c r="F62" s="216" t="s">
        <v>137</v>
      </c>
      <c r="G62" s="93">
        <f>SUM(G42:G57)</f>
        <v>0</v>
      </c>
      <c r="H62" s="97">
        <f>SUM(H42:H57)</f>
        <v>0</v>
      </c>
      <c r="I62" s="104"/>
    </row>
    <row r="63" spans="1:9" ht="15.6" x14ac:dyDescent="0.3">
      <c r="A63" s="135"/>
      <c r="B63" s="151"/>
      <c r="C63" s="98"/>
      <c r="D63" s="98"/>
      <c r="E63" s="98"/>
      <c r="F63" s="98"/>
      <c r="G63" s="98"/>
      <c r="H63" s="144"/>
      <c r="I63" s="136"/>
    </row>
    <row r="64" spans="1:9" x14ac:dyDescent="0.3">
      <c r="A64" s="271"/>
      <c r="B64" s="99"/>
      <c r="C64" s="100"/>
      <c r="D64" s="100"/>
      <c r="E64" s="100"/>
      <c r="F64" s="101" t="s">
        <v>138</v>
      </c>
      <c r="G64" s="102">
        <f>IFERROR(H62/G62,0)</f>
        <v>0</v>
      </c>
      <c r="H64" s="103"/>
      <c r="I64" s="104"/>
    </row>
    <row r="65" spans="1:9" ht="15" thickBot="1" x14ac:dyDescent="0.35">
      <c r="A65" s="271"/>
      <c r="B65" s="387" t="str" cm="1">
        <f t="array" ref="B65">_xlfn.IFS(H42=0,"",$G$64&gt;$E$36,"ERROR: Value exceeds Maximum Applied Water Budget",$G$64&lt;=$E$36,"Confirmed: Value does not exceed Maximum Applied Water Budget")</f>
        <v/>
      </c>
      <c r="C65" s="388"/>
      <c r="D65" s="388"/>
      <c r="E65" s="388"/>
      <c r="F65" s="388"/>
      <c r="G65" s="388"/>
      <c r="H65" s="389"/>
      <c r="I65" s="104"/>
    </row>
    <row r="66" spans="1:9" ht="17.100000000000001" customHeight="1" x14ac:dyDescent="0.35">
      <c r="A66" s="152"/>
      <c r="B66" s="390" t="s">
        <v>295</v>
      </c>
      <c r="C66" s="356"/>
      <c r="D66" s="356"/>
      <c r="E66" s="356"/>
      <c r="F66" s="356"/>
      <c r="G66" s="356"/>
      <c r="H66" s="357" t="s">
        <v>288</v>
      </c>
      <c r="I66" s="153"/>
    </row>
  </sheetData>
  <mergeCells count="1">
    <mergeCell ref="G25:H25"/>
  </mergeCells>
  <conditionalFormatting sqref="B65:H65">
    <cfRule type="expression" dxfId="1" priority="1">
      <formula>ISNUMBER(SEARCH("Confirmed", $B$65))</formula>
    </cfRule>
    <cfRule type="expression" dxfId="0" priority="2">
      <formula>ISNUMBER(SEARCH("Error", $B$65))</formula>
    </cfRule>
  </conditionalFormatting>
  <dataValidations count="2">
    <dataValidation type="list" allowBlank="1" showInputMessage="1" showErrorMessage="1" sqref="C42:C54" xr:uid="{FBFE2059-13A6-4737-AFA9-582B8E729F44}">
      <formula1>$C$24:$C$28</formula1>
    </dataValidation>
    <dataValidation type="list" allowBlank="1" showInputMessage="1" showErrorMessage="1" sqref="E42:E54" xr:uid="{E4FE5F3D-24F5-45C0-BC7F-9EF0624D17B4}">
      <formula1>$F$27:$F$29</formula1>
    </dataValidation>
  </dataValidations>
  <pageMargins left="0.7" right="0.7" top="0.75" bottom="0.75" header="0.3" footer="0.3"/>
  <pageSetup scale="61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81A1ED-A041-4C5C-BCA3-6C179CB1F440}">
  <sheetPr codeName="Sheet2"/>
  <dimension ref="A2:E32"/>
  <sheetViews>
    <sheetView zoomScale="80" zoomScaleNormal="80" workbookViewId="0">
      <selection activeCell="D28" sqref="D28"/>
    </sheetView>
  </sheetViews>
  <sheetFormatPr defaultRowHeight="14.4" x14ac:dyDescent="0.3"/>
  <cols>
    <col min="1" max="2" width="42.109375" customWidth="1"/>
    <col min="3" max="3" width="18.109375" customWidth="1"/>
    <col min="4" max="4" width="25.109375" bestFit="1" customWidth="1"/>
    <col min="5" max="5" width="20.109375" customWidth="1"/>
  </cols>
  <sheetData>
    <row r="2" spans="1:5" ht="15" thickBot="1" x14ac:dyDescent="0.35"/>
    <row r="3" spans="1:5" ht="18.600000000000001" thickBot="1" x14ac:dyDescent="0.4">
      <c r="A3" s="6"/>
      <c r="B3" s="7" t="s">
        <v>30</v>
      </c>
      <c r="C3" s="44" t="s">
        <v>139</v>
      </c>
      <c r="D3" s="63" t="s">
        <v>140</v>
      </c>
      <c r="E3" s="54" t="s">
        <v>78</v>
      </c>
    </row>
    <row r="4" spans="1:5" ht="21.6" thickBot="1" x14ac:dyDescent="0.45">
      <c r="A4" s="10" t="s">
        <v>40</v>
      </c>
      <c r="B4" s="10" t="s">
        <v>41</v>
      </c>
      <c r="C4" s="45">
        <v>0.1</v>
      </c>
      <c r="D4" s="37"/>
      <c r="E4" s="29">
        <f>D4*C4</f>
        <v>0</v>
      </c>
    </row>
    <row r="5" spans="1:5" ht="21" x14ac:dyDescent="0.4">
      <c r="A5" s="11" t="s">
        <v>43</v>
      </c>
      <c r="B5" s="11" t="s">
        <v>44</v>
      </c>
      <c r="C5" s="46">
        <v>0.36</v>
      </c>
      <c r="D5" s="38"/>
      <c r="E5" s="30">
        <f>D5*C5</f>
        <v>0</v>
      </c>
    </row>
    <row r="6" spans="1:5" ht="21" x14ac:dyDescent="0.4">
      <c r="A6" s="12" t="s">
        <v>141</v>
      </c>
      <c r="B6" s="12" t="s">
        <v>44</v>
      </c>
      <c r="C6" s="47">
        <v>0.24</v>
      </c>
      <c r="D6" s="39"/>
      <c r="E6" s="30">
        <f t="shared" ref="E6:E13" si="0">D6*C6</f>
        <v>0</v>
      </c>
    </row>
    <row r="7" spans="1:5" ht="21" x14ac:dyDescent="0.4">
      <c r="A7" s="13" t="s">
        <v>45</v>
      </c>
      <c r="B7" s="13"/>
      <c r="C7" s="46">
        <v>0.05</v>
      </c>
      <c r="D7" s="64"/>
      <c r="E7" s="30">
        <f t="shared" si="0"/>
        <v>0</v>
      </c>
    </row>
    <row r="8" spans="1:5" ht="21" x14ac:dyDescent="0.4">
      <c r="A8" s="12" t="s">
        <v>142</v>
      </c>
      <c r="B8" s="12"/>
      <c r="C8" s="47">
        <v>0.02</v>
      </c>
      <c r="D8" s="39"/>
      <c r="E8" s="30">
        <f t="shared" si="0"/>
        <v>0</v>
      </c>
    </row>
    <row r="9" spans="1:5" ht="21" x14ac:dyDescent="0.4">
      <c r="A9" s="14" t="s">
        <v>143</v>
      </c>
      <c r="B9" s="14"/>
      <c r="C9" s="46">
        <v>0.05</v>
      </c>
      <c r="D9" s="38"/>
      <c r="E9" s="30">
        <f t="shared" si="0"/>
        <v>0</v>
      </c>
    </row>
    <row r="10" spans="1:5" ht="21" x14ac:dyDescent="0.4">
      <c r="A10" s="12" t="s">
        <v>47</v>
      </c>
      <c r="B10" s="12"/>
      <c r="C10" s="47">
        <v>0.02</v>
      </c>
      <c r="D10" s="39"/>
      <c r="E10" s="30">
        <f t="shared" si="0"/>
        <v>0</v>
      </c>
    </row>
    <row r="11" spans="1:5" ht="21" x14ac:dyDescent="0.4">
      <c r="A11" s="14" t="s">
        <v>49</v>
      </c>
      <c r="B11" s="14"/>
      <c r="C11" s="46">
        <v>0.05</v>
      </c>
      <c r="D11" s="38"/>
      <c r="E11" s="30">
        <f t="shared" si="0"/>
        <v>0</v>
      </c>
    </row>
    <row r="12" spans="1:5" ht="21" x14ac:dyDescent="0.4">
      <c r="A12" s="12" t="s">
        <v>144</v>
      </c>
      <c r="B12" s="12"/>
      <c r="C12" s="47">
        <v>0.05</v>
      </c>
      <c r="D12" s="39"/>
      <c r="E12" s="30">
        <f t="shared" si="0"/>
        <v>0</v>
      </c>
    </row>
    <row r="13" spans="1:5" ht="21.6" thickBot="1" x14ac:dyDescent="0.45">
      <c r="A13" s="15" t="s">
        <v>145</v>
      </c>
      <c r="B13" s="15"/>
      <c r="C13" s="48">
        <v>0.03</v>
      </c>
      <c r="D13" s="40"/>
      <c r="E13" s="32">
        <f t="shared" si="0"/>
        <v>0</v>
      </c>
    </row>
    <row r="14" spans="1:5" ht="21" x14ac:dyDescent="0.4">
      <c r="A14" s="16" t="s">
        <v>54</v>
      </c>
      <c r="B14" s="19" t="s">
        <v>55</v>
      </c>
      <c r="C14" s="49">
        <v>0.25</v>
      </c>
      <c r="D14" s="65"/>
      <c r="E14" s="33">
        <f>D14*C14</f>
        <v>0</v>
      </c>
    </row>
    <row r="15" spans="1:5" ht="21" x14ac:dyDescent="0.4">
      <c r="A15" s="14" t="s">
        <v>57</v>
      </c>
      <c r="B15" s="14"/>
      <c r="C15" s="50">
        <v>0.1</v>
      </c>
      <c r="D15" s="38"/>
      <c r="E15" s="31">
        <f>D15*C15</f>
        <v>0</v>
      </c>
    </row>
    <row r="16" spans="1:5" ht="24.6" customHeight="1" x14ac:dyDescent="0.4">
      <c r="A16" s="12" t="s">
        <v>59</v>
      </c>
      <c r="B16" s="12"/>
      <c r="C16" s="47">
        <v>0.05</v>
      </c>
      <c r="D16" s="39"/>
      <c r="E16" s="31">
        <f t="shared" ref="E16:E19" si="1">D16*C16</f>
        <v>0</v>
      </c>
    </row>
    <row r="17" spans="1:5" ht="21" x14ac:dyDescent="0.4">
      <c r="A17" s="14" t="s">
        <v>146</v>
      </c>
      <c r="B17" s="14"/>
      <c r="C17" s="46">
        <v>0.05</v>
      </c>
      <c r="D17" s="38"/>
      <c r="E17" s="31">
        <f t="shared" si="1"/>
        <v>0</v>
      </c>
    </row>
    <row r="18" spans="1:5" ht="21" x14ac:dyDescent="0.4">
      <c r="A18" s="12" t="s">
        <v>62</v>
      </c>
      <c r="B18" s="12"/>
      <c r="C18" s="47">
        <v>0.05</v>
      </c>
      <c r="D18" s="39"/>
      <c r="E18" s="31">
        <f t="shared" si="1"/>
        <v>0</v>
      </c>
    </row>
    <row r="19" spans="1:5" ht="21" x14ac:dyDescent="0.4">
      <c r="A19" s="20" t="s">
        <v>63</v>
      </c>
      <c r="B19" s="20" t="s">
        <v>64</v>
      </c>
      <c r="C19" s="51">
        <v>0.15</v>
      </c>
      <c r="D19" s="41"/>
      <c r="E19" s="34">
        <f t="shared" si="1"/>
        <v>0</v>
      </c>
    </row>
    <row r="20" spans="1:5" ht="21.6" thickBot="1" x14ac:dyDescent="0.45">
      <c r="A20" s="15" t="s">
        <v>65</v>
      </c>
      <c r="B20" s="15"/>
      <c r="C20" s="48">
        <v>0.05</v>
      </c>
      <c r="D20" s="40"/>
      <c r="E20" s="32">
        <f>D20*C20</f>
        <v>0</v>
      </c>
    </row>
    <row r="21" spans="1:5" ht="21" x14ac:dyDescent="0.4">
      <c r="A21" s="17" t="s">
        <v>66</v>
      </c>
      <c r="B21" s="17"/>
      <c r="C21" s="52">
        <v>0.1</v>
      </c>
      <c r="D21" s="42"/>
      <c r="E21" s="33">
        <f>D21*C21</f>
        <v>0</v>
      </c>
    </row>
    <row r="22" spans="1:5" ht="21.6" thickBot="1" x14ac:dyDescent="0.45">
      <c r="A22" s="15" t="s">
        <v>67</v>
      </c>
      <c r="B22" s="15"/>
      <c r="C22" s="48">
        <v>0.05</v>
      </c>
      <c r="D22" s="40"/>
      <c r="E22" s="32">
        <f>D22*C22</f>
        <v>0</v>
      </c>
    </row>
    <row r="23" spans="1:5" ht="21" x14ac:dyDescent="0.4">
      <c r="A23" s="17" t="s">
        <v>68</v>
      </c>
      <c r="B23" s="17"/>
      <c r="C23" s="52">
        <v>0.2</v>
      </c>
      <c r="D23" s="42"/>
      <c r="E23" s="35">
        <f>D23*C23</f>
        <v>0</v>
      </c>
    </row>
    <row r="24" spans="1:5" ht="21" x14ac:dyDescent="0.4">
      <c r="A24" s="14" t="s">
        <v>69</v>
      </c>
      <c r="B24" s="14"/>
      <c r="C24" s="50">
        <v>0.1</v>
      </c>
      <c r="D24" s="38"/>
      <c r="E24" s="31">
        <f t="shared" ref="E24:E25" si="2">D24*C24</f>
        <v>0</v>
      </c>
    </row>
    <row r="25" spans="1:5" ht="21" x14ac:dyDescent="0.4">
      <c r="A25" s="12" t="s">
        <v>70</v>
      </c>
      <c r="B25" s="12"/>
      <c r="C25" s="47">
        <v>0.05</v>
      </c>
      <c r="D25" s="39"/>
      <c r="E25" s="31">
        <f t="shared" si="2"/>
        <v>0</v>
      </c>
    </row>
    <row r="26" spans="1:5" ht="21" x14ac:dyDescent="0.4">
      <c r="A26" s="12" t="s">
        <v>147</v>
      </c>
      <c r="B26" s="12" t="s">
        <v>148</v>
      </c>
      <c r="C26" s="47">
        <v>1E-3</v>
      </c>
      <c r="D26" s="39"/>
      <c r="E26" s="31">
        <f>D26*C26</f>
        <v>0</v>
      </c>
    </row>
    <row r="27" spans="1:5" ht="21.6" thickBot="1" x14ac:dyDescent="0.45">
      <c r="A27" s="15" t="s">
        <v>149</v>
      </c>
      <c r="B27" s="15" t="s">
        <v>150</v>
      </c>
      <c r="C27" s="48">
        <v>0.01</v>
      </c>
      <c r="D27" s="40"/>
      <c r="E27" s="32">
        <f>C27*(D27/100)</f>
        <v>0</v>
      </c>
    </row>
    <row r="28" spans="1:5" ht="21" x14ac:dyDescent="0.4">
      <c r="A28" s="12" t="s">
        <v>151</v>
      </c>
      <c r="B28" s="12" t="s">
        <v>152</v>
      </c>
      <c r="C28" s="47">
        <v>0.02</v>
      </c>
      <c r="D28" s="39"/>
      <c r="E28" s="31">
        <f>(D28/100)*C28</f>
        <v>0</v>
      </c>
    </row>
    <row r="29" spans="1:5" ht="21" x14ac:dyDescent="0.4">
      <c r="A29" s="28" t="s">
        <v>153</v>
      </c>
      <c r="B29" s="28" t="s">
        <v>154</v>
      </c>
      <c r="C29" s="47">
        <v>0.02</v>
      </c>
      <c r="D29" s="39"/>
      <c r="E29" s="31">
        <f>(D29/1000)*C29</f>
        <v>0</v>
      </c>
    </row>
    <row r="30" spans="1:5" ht="21.6" thickBot="1" x14ac:dyDescent="0.45">
      <c r="A30" s="18" t="s">
        <v>71</v>
      </c>
      <c r="B30" s="18"/>
      <c r="C30" s="53">
        <v>0.02</v>
      </c>
      <c r="D30" s="43"/>
      <c r="E30" s="36">
        <f>C30*D30</f>
        <v>0</v>
      </c>
    </row>
    <row r="31" spans="1:5" x14ac:dyDescent="0.3">
      <c r="A31" s="4"/>
      <c r="B31" s="1"/>
      <c r="C31" s="1"/>
      <c r="D31" s="1"/>
      <c r="E31" s="26"/>
    </row>
    <row r="32" spans="1:5" ht="15" thickBot="1" x14ac:dyDescent="0.35">
      <c r="A32" s="2" t="s">
        <v>155</v>
      </c>
      <c r="B32" s="3"/>
      <c r="C32" s="3"/>
      <c r="D32" s="3"/>
      <c r="E32" s="5">
        <f>SUM(E4:E30)</f>
        <v>0</v>
      </c>
    </row>
  </sheetData>
  <sheetProtection algorithmName="SHA-512" hashValue="5ir//V6/9OYqtxMJ7rWr7d45k9XGa1hpWlkjH+ChsOXOg2xSF+yO1AgcHb3aq45WtfMe1JSc9/rFQDmXU6IHlg==" saltValue="US2SbjMMtWA52MoLc+ItNQ==" spinCount="100000" sheet="1" objects="1" scenarios="1" selectLockedCells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12A475-3313-4870-B7AC-05DAB97F35D3}">
  <sheetPr codeName="Sheet4">
    <pageSetUpPr fitToPage="1"/>
  </sheetPr>
  <dimension ref="B1:L14"/>
  <sheetViews>
    <sheetView zoomScale="90" zoomScaleNormal="90" workbookViewId="0">
      <selection activeCell="G26" sqref="G26"/>
    </sheetView>
  </sheetViews>
  <sheetFormatPr defaultRowHeight="14.4" x14ac:dyDescent="0.3"/>
  <cols>
    <col min="3" max="3" width="10.109375" customWidth="1"/>
    <col min="4" max="4" width="6.109375" customWidth="1"/>
    <col min="5" max="5" width="16.88671875" customWidth="1"/>
    <col min="6" max="6" width="12.109375" bestFit="1" customWidth="1"/>
    <col min="7" max="7" width="34" customWidth="1"/>
    <col min="8" max="8" width="15" customWidth="1"/>
    <col min="9" max="9" width="32.109375" customWidth="1"/>
    <col min="10" max="10" width="16.109375" customWidth="1"/>
  </cols>
  <sheetData>
    <row r="1" spans="2:12" ht="15" thickBot="1" x14ac:dyDescent="0.35"/>
    <row r="2" spans="2:12" ht="18" x14ac:dyDescent="0.35">
      <c r="B2" s="21"/>
      <c r="C2" s="22"/>
      <c r="D2" s="22"/>
      <c r="E2" s="22"/>
      <c r="F2" s="22"/>
      <c r="G2" s="477" t="s">
        <v>156</v>
      </c>
      <c r="H2" s="477"/>
      <c r="I2" s="22"/>
      <c r="J2" s="22"/>
      <c r="K2" s="22"/>
      <c r="L2" s="23"/>
    </row>
    <row r="3" spans="2:12" ht="18" x14ac:dyDescent="0.35">
      <c r="B3" s="4"/>
      <c r="C3" s="1"/>
      <c r="D3" s="1"/>
      <c r="E3" s="1"/>
      <c r="F3" s="1"/>
      <c r="G3" s="478" t="s">
        <v>157</v>
      </c>
      <c r="H3" s="478"/>
      <c r="I3" s="1"/>
      <c r="J3" s="1"/>
      <c r="K3" s="1"/>
      <c r="L3" s="24"/>
    </row>
    <row r="4" spans="2:12" ht="18" x14ac:dyDescent="0.35">
      <c r="B4" s="4"/>
      <c r="C4" s="1"/>
      <c r="D4" s="1"/>
      <c r="E4" s="1"/>
      <c r="F4" s="1"/>
      <c r="G4" s="478" t="s">
        <v>158</v>
      </c>
      <c r="H4" s="478"/>
      <c r="I4" s="1"/>
      <c r="J4" s="1"/>
      <c r="K4" s="1"/>
      <c r="L4" s="24"/>
    </row>
    <row r="5" spans="2:12" ht="18.600000000000001" thickBot="1" x14ac:dyDescent="0.4">
      <c r="B5" s="2"/>
      <c r="C5" s="3"/>
      <c r="D5" s="3"/>
      <c r="E5" s="3"/>
      <c r="F5" s="3"/>
      <c r="G5" s="57"/>
      <c r="H5" s="57"/>
      <c r="I5" s="3"/>
      <c r="J5" s="3"/>
      <c r="K5" s="3"/>
      <c r="L5" s="25"/>
    </row>
    <row r="6" spans="2:12" x14ac:dyDescent="0.3">
      <c r="B6" s="58" t="s">
        <v>159</v>
      </c>
      <c r="C6" s="22"/>
      <c r="D6" s="22"/>
      <c r="E6" s="22"/>
      <c r="F6" s="22"/>
      <c r="G6" s="22"/>
      <c r="H6" s="22"/>
      <c r="I6" s="22"/>
      <c r="J6" s="22"/>
      <c r="K6" s="22"/>
      <c r="L6" s="23"/>
    </row>
    <row r="7" spans="2:12" ht="15" thickBot="1" x14ac:dyDescent="0.35">
      <c r="B7" s="4"/>
      <c r="C7" s="1"/>
      <c r="D7" s="1"/>
      <c r="E7" s="1"/>
      <c r="F7" s="1"/>
      <c r="G7" s="1"/>
      <c r="H7" s="1"/>
      <c r="I7" s="1"/>
      <c r="J7" s="1"/>
      <c r="K7" s="1"/>
      <c r="L7" s="24"/>
    </row>
    <row r="8" spans="2:12" ht="15" thickBot="1" x14ac:dyDescent="0.35">
      <c r="B8" s="4"/>
      <c r="C8" s="21"/>
      <c r="D8" s="22"/>
      <c r="E8" s="22"/>
      <c r="F8" s="27" t="s">
        <v>160</v>
      </c>
      <c r="G8" s="22"/>
      <c r="H8" s="27" t="s">
        <v>79</v>
      </c>
      <c r="I8" s="22"/>
      <c r="J8" s="27" t="s">
        <v>161</v>
      </c>
      <c r="K8" s="1"/>
      <c r="L8" s="24"/>
    </row>
    <row r="9" spans="2:12" ht="15" thickBot="1" x14ac:dyDescent="0.35">
      <c r="B9" s="4"/>
      <c r="C9" s="59" t="s">
        <v>155</v>
      </c>
      <c r="D9" s="3"/>
      <c r="E9" s="3"/>
      <c r="F9" s="5" t="str">
        <f>'ECU Calculator'!B89</f>
        <v/>
      </c>
      <c r="G9" s="3"/>
      <c r="H9" s="5">
        <f>'ECU Calculator'!G82</f>
        <v>0</v>
      </c>
      <c r="I9" s="3"/>
      <c r="J9" s="5">
        <f>'ECU Calculator'!I82</f>
        <v>0</v>
      </c>
      <c r="K9" s="1"/>
      <c r="L9" s="24"/>
    </row>
    <row r="10" spans="2:12" ht="15" thickBot="1" x14ac:dyDescent="0.35">
      <c r="B10" s="4"/>
      <c r="C10" s="1"/>
      <c r="D10" s="1"/>
      <c r="E10" s="1"/>
      <c r="F10" s="1"/>
      <c r="G10" s="1"/>
      <c r="H10" s="1"/>
      <c r="I10" s="1"/>
      <c r="J10" s="1"/>
      <c r="K10" s="1"/>
      <c r="L10" s="24"/>
    </row>
    <row r="11" spans="2:12" ht="15" thickBot="1" x14ac:dyDescent="0.35">
      <c r="B11" s="4"/>
      <c r="C11" s="21" t="s">
        <v>162</v>
      </c>
      <c r="D11" s="22"/>
      <c r="E11" s="56" t="str">
        <f>IF('ECU Calculator'!B85="","",'ECU Calculator'!B85)</f>
        <v/>
      </c>
      <c r="F11" s="1"/>
      <c r="G11" s="1"/>
      <c r="H11" s="1"/>
      <c r="I11" s="1"/>
      <c r="J11" s="1"/>
      <c r="K11" s="1"/>
      <c r="L11" s="24"/>
    </row>
    <row r="12" spans="2:12" ht="15" thickBot="1" x14ac:dyDescent="0.35">
      <c r="B12" s="4"/>
      <c r="C12" s="2" t="s">
        <v>163</v>
      </c>
      <c r="D12" s="3"/>
      <c r="E12" s="55" t="str">
        <f>'ECU Calculator'!B86</f>
        <v/>
      </c>
      <c r="F12" s="1"/>
      <c r="G12" s="60" t="s">
        <v>164</v>
      </c>
      <c r="H12" s="61" t="e">
        <f>IF('ECU Calculator'!#REF!&lt;0,0,'ECU Calculator'!#REF!*'ECU Calculator'!B86)</f>
        <v>#REF!</v>
      </c>
      <c r="I12" s="60" t="s">
        <v>165</v>
      </c>
      <c r="J12" s="62">
        <f ca="1">IF('ECU Calculator'!B87&gt;'ECU Calculator'!I82,0,IF('ECU Calculator'!I82=0,0,IF(F9&gt;'ECU Calculator'!G82,('ECU Calculator'!I82-'ECU Calculator'!B87)*'ECU Calculator'!B86,('ECU Calculator'!I82-'ECU Calculator'!G82)*'ECU Calculator'!B86)))</f>
        <v>0</v>
      </c>
      <c r="K12" s="1"/>
      <c r="L12" s="24"/>
    </row>
    <row r="13" spans="2:12" x14ac:dyDescent="0.3">
      <c r="B13" s="4"/>
      <c r="C13" s="1"/>
      <c r="D13" s="1"/>
      <c r="E13" s="1"/>
      <c r="F13" s="1"/>
      <c r="G13" s="1"/>
      <c r="H13" s="1"/>
      <c r="I13" s="1"/>
      <c r="J13" s="1"/>
      <c r="K13" s="1"/>
      <c r="L13" s="24"/>
    </row>
    <row r="14" spans="2:12" ht="15" thickBot="1" x14ac:dyDescent="0.35">
      <c r="B14" s="2"/>
      <c r="C14" s="3"/>
      <c r="D14" s="3"/>
      <c r="E14" s="3"/>
      <c r="F14" s="3"/>
      <c r="G14" s="3"/>
      <c r="H14" s="3"/>
      <c r="I14" s="3"/>
      <c r="J14" s="3"/>
      <c r="K14" s="3"/>
      <c r="L14" s="25"/>
    </row>
  </sheetData>
  <sheetProtection algorithmName="SHA-512" hashValue="lRwO5hruKqlE2m+RairWX8vEA/O1qsJ55i286Od9/ExoBHDFSC+zn3IG2TSsh8UvD9soNgW6QGj0iYh8HWxdWA==" saltValue="8qG0/D2aXXGdZKyV1ML/6Q==" spinCount="100000" sheet="1" objects="1" scenarios="1" selectLockedCells="1"/>
  <mergeCells count="3">
    <mergeCell ref="G2:H2"/>
    <mergeCell ref="G3:H3"/>
    <mergeCell ref="G4:H4"/>
  </mergeCells>
  <pageMargins left="0.7" right="0.7" top="0.75" bottom="0.75" header="0.3" footer="0.3"/>
  <pageSetup scale="64" orientation="landscape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3</vt:i4>
      </vt:variant>
    </vt:vector>
  </HeadingPairs>
  <TitlesOfParts>
    <vt:vector size="7" baseType="lpstr">
      <vt:lpstr>ECU Calculator</vt:lpstr>
      <vt:lpstr>Outdoor Water Budget Worksheet</vt:lpstr>
      <vt:lpstr>Existing ECU Count</vt:lpstr>
      <vt:lpstr>Tap Fee Calculator</vt:lpstr>
      <vt:lpstr>'ECU Calculator'!Print_Area</vt:lpstr>
      <vt:lpstr>'Outdoor Water Budget Worksheet'!Print_Area</vt:lpstr>
      <vt:lpstr>'Tap Fee Calculator'!Print_Area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PJ Murray</dc:creator>
  <cp:keywords/>
  <dc:description/>
  <cp:lastModifiedBy>Megan Killer</cp:lastModifiedBy>
  <cp:revision/>
  <cp:lastPrinted>2024-12-09T20:20:05Z</cp:lastPrinted>
  <dcterms:created xsi:type="dcterms:W3CDTF">2019-12-12T16:57:51Z</dcterms:created>
  <dcterms:modified xsi:type="dcterms:W3CDTF">2026-01-16T15:35:01Z</dcterms:modified>
  <cp:category/>
  <cp:contentStatus/>
</cp:coreProperties>
</file>